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C-DTH8L02\scans\2026 WORKFILE\Schedules\"/>
    </mc:Choice>
  </mc:AlternateContent>
  <xr:revisionPtr revIDLastSave="0" documentId="8_{E713436F-E498-49CF-B7E4-E2DBCCB66F84}" xr6:coauthVersionLast="47" xr6:coauthVersionMax="47" xr10:uidLastSave="{00000000-0000-0000-0000-000000000000}"/>
  <bookViews>
    <workbookView xWindow="28680" yWindow="-120" windowWidth="29040" windowHeight="15720" xr2:uid="{96B96DEF-97F5-4467-BB02-33682148FC43}"/>
  </bookViews>
  <sheets>
    <sheet name="COVER" sheetId="3" r:id="rId1"/>
    <sheet name="BLDG COST" sheetId="1" r:id="rId2"/>
    <sheet name="BLDG COMMEN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3" i="1" l="1"/>
  <c r="Q156" i="1"/>
  <c r="C193" i="1" s="1"/>
  <c r="C173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0" i="1"/>
  <c r="C149" i="1"/>
  <c r="C144" i="1"/>
  <c r="C143" i="1"/>
  <c r="C142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G192" i="1"/>
  <c r="G191" i="1"/>
  <c r="G190" i="1"/>
  <c r="G189" i="1"/>
  <c r="G188" i="1"/>
  <c r="G187" i="1"/>
  <c r="G186" i="1"/>
  <c r="G185" i="1"/>
  <c r="G182" i="1"/>
  <c r="G181" i="1"/>
  <c r="G180" i="1"/>
  <c r="G179" i="1"/>
  <c r="G178" i="1"/>
  <c r="G177" i="1"/>
  <c r="G176" i="1"/>
  <c r="G175" i="1"/>
  <c r="G172" i="1"/>
  <c r="G171" i="1"/>
  <c r="G170" i="1"/>
  <c r="G169" i="1"/>
  <c r="G168" i="1"/>
  <c r="G167" i="1"/>
  <c r="G166" i="1"/>
  <c r="G165" i="1"/>
  <c r="G162" i="1"/>
  <c r="G161" i="1"/>
  <c r="G160" i="1"/>
  <c r="G159" i="1"/>
  <c r="G158" i="1"/>
  <c r="G157" i="1"/>
  <c r="G156" i="1"/>
  <c r="G155" i="1"/>
  <c r="G149" i="1"/>
  <c r="G148" i="1"/>
  <c r="G147" i="1"/>
  <c r="G146" i="1"/>
  <c r="G145" i="1"/>
  <c r="G144" i="1"/>
  <c r="G143" i="1"/>
  <c r="G142" i="1"/>
  <c r="G139" i="1"/>
  <c r="G138" i="1"/>
  <c r="G137" i="1"/>
  <c r="G136" i="1"/>
  <c r="G135" i="1"/>
  <c r="G134" i="1"/>
  <c r="G133" i="1"/>
  <c r="G132" i="1"/>
  <c r="C141" i="1"/>
  <c r="G129" i="1"/>
  <c r="G128" i="1"/>
  <c r="G127" i="1"/>
  <c r="G126" i="1"/>
  <c r="G125" i="1"/>
  <c r="G124" i="1"/>
  <c r="G123" i="1"/>
  <c r="G122" i="1"/>
  <c r="G119" i="1"/>
  <c r="G118" i="1"/>
  <c r="G117" i="1"/>
  <c r="G116" i="1"/>
  <c r="G115" i="1"/>
  <c r="G114" i="1"/>
  <c r="G113" i="1"/>
  <c r="G112" i="1"/>
  <c r="C16" i="1"/>
  <c r="C11" i="1"/>
  <c r="C592" i="1"/>
  <c r="H592" i="1" s="1"/>
  <c r="C590" i="1"/>
  <c r="H590" i="1" s="1"/>
  <c r="C588" i="1"/>
  <c r="C586" i="1"/>
  <c r="H586" i="1" s="1"/>
  <c r="C505" i="1"/>
  <c r="H505" i="1" s="1"/>
  <c r="C504" i="1"/>
  <c r="H504" i="1" s="1"/>
  <c r="C503" i="1"/>
  <c r="H503" i="1" s="1"/>
  <c r="C502" i="1"/>
  <c r="H502" i="1" s="1"/>
  <c r="C361" i="1"/>
  <c r="H361" i="1" s="1"/>
  <c r="C360" i="1"/>
  <c r="H360" i="1" s="1"/>
  <c r="C359" i="1"/>
  <c r="H359" i="1" s="1"/>
  <c r="C347" i="1"/>
  <c r="H347" i="1" s="1"/>
  <c r="C346" i="1"/>
  <c r="H346" i="1" s="1"/>
  <c r="C345" i="1"/>
  <c r="H345" i="1" s="1"/>
  <c r="C344" i="1"/>
  <c r="H344" i="1" s="1"/>
  <c r="C343" i="1"/>
  <c r="H343" i="1" s="1"/>
  <c r="B64" i="2"/>
  <c r="B60" i="2"/>
  <c r="B58" i="2"/>
  <c r="B54" i="2"/>
  <c r="B52" i="2"/>
  <c r="B48" i="2"/>
  <c r="B35" i="2"/>
  <c r="B31" i="2"/>
  <c r="B19" i="2"/>
  <c r="B29" i="2"/>
  <c r="B25" i="2"/>
  <c r="B23" i="2"/>
  <c r="B9" i="2"/>
  <c r="C521" i="1"/>
  <c r="H521" i="1" s="1"/>
  <c r="C520" i="1"/>
  <c r="H520" i="1" s="1"/>
  <c r="C519" i="1"/>
  <c r="H519" i="1" s="1"/>
  <c r="C518" i="1"/>
  <c r="H518" i="1" s="1"/>
  <c r="U529" i="1"/>
  <c r="S529" i="1"/>
  <c r="Q529" i="1"/>
  <c r="T529" i="1" s="1"/>
  <c r="U528" i="1"/>
  <c r="S528" i="1"/>
  <c r="Q528" i="1"/>
  <c r="T528" i="1" s="1"/>
  <c r="U527" i="1"/>
  <c r="S527" i="1"/>
  <c r="Q527" i="1"/>
  <c r="T527" i="1" s="1"/>
  <c r="U526" i="1"/>
  <c r="S526" i="1"/>
  <c r="Q526" i="1"/>
  <c r="T526" i="1" s="1"/>
  <c r="U525" i="1"/>
  <c r="S525" i="1"/>
  <c r="Q525" i="1"/>
  <c r="T525" i="1" s="1"/>
  <c r="U524" i="1"/>
  <c r="S524" i="1"/>
  <c r="Q524" i="1"/>
  <c r="T524" i="1" s="1"/>
  <c r="U513" i="1"/>
  <c r="S513" i="1"/>
  <c r="U512" i="1"/>
  <c r="S512" i="1"/>
  <c r="U511" i="1"/>
  <c r="S511" i="1"/>
  <c r="U510" i="1"/>
  <c r="S510" i="1"/>
  <c r="U509" i="1"/>
  <c r="S509" i="1"/>
  <c r="U508" i="1"/>
  <c r="S508" i="1"/>
  <c r="Q513" i="1"/>
  <c r="T513" i="1" s="1"/>
  <c r="Q512" i="1"/>
  <c r="T512" i="1" s="1"/>
  <c r="Q511" i="1"/>
  <c r="T511" i="1" s="1"/>
  <c r="Q510" i="1"/>
  <c r="T510" i="1" s="1"/>
  <c r="Q509" i="1"/>
  <c r="T509" i="1" s="1"/>
  <c r="Q508" i="1"/>
  <c r="T508" i="1" s="1"/>
  <c r="C497" i="1"/>
  <c r="C496" i="1"/>
  <c r="C495" i="1"/>
  <c r="C494" i="1"/>
  <c r="C493" i="1"/>
  <c r="C492" i="1"/>
  <c r="C491" i="1"/>
  <c r="C490" i="1"/>
  <c r="C489" i="1"/>
  <c r="C488" i="1"/>
  <c r="C470" i="1"/>
  <c r="C471" i="1"/>
  <c r="C472" i="1"/>
  <c r="C477" i="1"/>
  <c r="C476" i="1"/>
  <c r="C475" i="1"/>
  <c r="C474" i="1"/>
  <c r="C473" i="1"/>
  <c r="C469" i="1"/>
  <c r="C468" i="1"/>
  <c r="C453" i="1"/>
  <c r="C452" i="1"/>
  <c r="C451" i="1"/>
  <c r="C450" i="1"/>
  <c r="C449" i="1"/>
  <c r="C448" i="1"/>
  <c r="C447" i="1"/>
  <c r="C446" i="1"/>
  <c r="C445" i="1"/>
  <c r="C444" i="1"/>
  <c r="C429" i="1"/>
  <c r="C428" i="1"/>
  <c r="C427" i="1"/>
  <c r="C426" i="1"/>
  <c r="C425" i="1"/>
  <c r="C424" i="1"/>
  <c r="C423" i="1"/>
  <c r="C422" i="1"/>
  <c r="C421" i="1"/>
  <c r="H421" i="1" s="1"/>
  <c r="C420" i="1"/>
  <c r="C407" i="1"/>
  <c r="C405" i="1"/>
  <c r="C409" i="1"/>
  <c r="C408" i="1"/>
  <c r="C406" i="1"/>
  <c r="C404" i="1"/>
  <c r="C403" i="1"/>
  <c r="C402" i="1"/>
  <c r="C401" i="1"/>
  <c r="C400" i="1"/>
  <c r="C376" i="1"/>
  <c r="C385" i="1"/>
  <c r="C384" i="1"/>
  <c r="C383" i="1"/>
  <c r="C382" i="1"/>
  <c r="C381" i="1"/>
  <c r="C380" i="1"/>
  <c r="C379" i="1"/>
  <c r="C378" i="1"/>
  <c r="C377" i="1"/>
  <c r="C375" i="1"/>
  <c r="C374" i="1"/>
  <c r="C373" i="1"/>
  <c r="C372" i="1"/>
  <c r="C371" i="1"/>
  <c r="C370" i="1"/>
  <c r="C368" i="1"/>
  <c r="C369" i="1"/>
  <c r="C367" i="1"/>
  <c r="C366" i="1"/>
  <c r="C341" i="1"/>
  <c r="C340" i="1"/>
  <c r="C339" i="1"/>
  <c r="C338" i="1"/>
  <c r="C337" i="1"/>
  <c r="C336" i="1"/>
  <c r="C335" i="1"/>
  <c r="C334" i="1"/>
  <c r="C333" i="1"/>
  <c r="C332" i="1"/>
  <c r="C317" i="1"/>
  <c r="C316" i="1"/>
  <c r="C315" i="1"/>
  <c r="C314" i="1"/>
  <c r="C313" i="1"/>
  <c r="C312" i="1"/>
  <c r="C311" i="1"/>
  <c r="C310" i="1"/>
  <c r="C309" i="1"/>
  <c r="C308" i="1"/>
  <c r="C293" i="1"/>
  <c r="C292" i="1"/>
  <c r="C291" i="1"/>
  <c r="C290" i="1"/>
  <c r="C289" i="1"/>
  <c r="C288" i="1"/>
  <c r="C287" i="1"/>
  <c r="C286" i="1"/>
  <c r="C285" i="1"/>
  <c r="C284" i="1"/>
  <c r="C273" i="1"/>
  <c r="C272" i="1"/>
  <c r="C271" i="1"/>
  <c r="C270" i="1"/>
  <c r="C269" i="1"/>
  <c r="C268" i="1"/>
  <c r="C267" i="1"/>
  <c r="C266" i="1"/>
  <c r="C265" i="1"/>
  <c r="C264" i="1"/>
  <c r="C249" i="1"/>
  <c r="C248" i="1"/>
  <c r="C247" i="1"/>
  <c r="C246" i="1"/>
  <c r="C245" i="1"/>
  <c r="C244" i="1"/>
  <c r="C243" i="1"/>
  <c r="C242" i="1"/>
  <c r="C241" i="1"/>
  <c r="C240" i="1"/>
  <c r="C223" i="1"/>
  <c r="C222" i="1"/>
  <c r="C221" i="1"/>
  <c r="C220" i="1"/>
  <c r="C219" i="1"/>
  <c r="C218" i="1"/>
  <c r="C217" i="1"/>
  <c r="C216" i="1"/>
  <c r="C215" i="1"/>
  <c r="C214" i="1"/>
  <c r="O205" i="1"/>
  <c r="C207" i="1" s="1"/>
  <c r="C91" i="1"/>
  <c r="H91" i="1" s="1"/>
  <c r="C66" i="1"/>
  <c r="H78" i="1"/>
  <c r="H79" i="1" s="1"/>
  <c r="H80" i="1" s="1"/>
  <c r="C44" i="1"/>
  <c r="O84" i="1"/>
  <c r="O83" i="1"/>
  <c r="O82" i="1"/>
  <c r="C32" i="1"/>
  <c r="C35" i="1" s="1"/>
  <c r="C38" i="1" s="1"/>
  <c r="C41" i="1" s="1"/>
  <c r="H92" i="1"/>
  <c r="H90" i="1"/>
  <c r="H63" i="1"/>
  <c r="H59" i="1"/>
  <c r="H60" i="1" s="1"/>
  <c r="H61" i="1" s="1"/>
  <c r="Q22" i="1"/>
  <c r="O22" i="1" s="1"/>
  <c r="B15" i="2" s="1"/>
  <c r="Q11" i="1"/>
  <c r="Q20" i="1"/>
  <c r="O20" i="1" s="1"/>
  <c r="C20" i="1" s="1"/>
  <c r="Q18" i="1"/>
  <c r="O18" i="1" s="1"/>
  <c r="O17" i="1" s="1"/>
  <c r="P17" i="1" s="1"/>
  <c r="Q17" i="1" s="1"/>
  <c r="Q12" i="1"/>
  <c r="O12" i="1" s="1"/>
  <c r="P11" i="1" s="1"/>
  <c r="Q14" i="1"/>
  <c r="O14" i="1" s="1"/>
  <c r="O15" i="1" s="1"/>
  <c r="P15" i="1" s="1"/>
  <c r="Q15" i="1" s="1"/>
  <c r="Q16" i="1"/>
  <c r="H517" i="1"/>
  <c r="H515" i="1"/>
  <c r="H516" i="1"/>
  <c r="H514" i="1"/>
  <c r="H513" i="1"/>
  <c r="H511" i="1"/>
  <c r="H512" i="1"/>
  <c r="H510" i="1"/>
  <c r="H509" i="1"/>
  <c r="H507" i="1"/>
  <c r="H508" i="1"/>
  <c r="H506" i="1"/>
  <c r="O543" i="1"/>
  <c r="C523" i="1" s="1"/>
  <c r="H523" i="1" s="1"/>
  <c r="O544" i="1"/>
  <c r="C530" i="1" s="1"/>
  <c r="H530" i="1" s="1"/>
  <c r="O545" i="1"/>
  <c r="C531" i="1" s="1"/>
  <c r="H531" i="1" s="1"/>
  <c r="O546" i="1"/>
  <c r="C540" i="1" s="1"/>
  <c r="H540" i="1" s="1"/>
  <c r="O547" i="1"/>
  <c r="C527" i="1" s="1"/>
  <c r="H527" i="1" s="1"/>
  <c r="O542" i="1"/>
  <c r="C536" i="1" s="1"/>
  <c r="H536" i="1" s="1"/>
  <c r="H542" i="1"/>
  <c r="H543" i="1"/>
  <c r="H544" i="1"/>
  <c r="H545" i="1"/>
  <c r="H546" i="1"/>
  <c r="H547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70" i="1"/>
  <c r="H571" i="1"/>
  <c r="H572" i="1"/>
  <c r="H573" i="1"/>
  <c r="H574" i="1"/>
  <c r="H575" i="1"/>
  <c r="H548" i="1"/>
  <c r="H358" i="1"/>
  <c r="H585" i="1"/>
  <c r="H587" i="1"/>
  <c r="H588" i="1"/>
  <c r="H589" i="1"/>
  <c r="H591" i="1"/>
  <c r="H577" i="1"/>
  <c r="H578" i="1"/>
  <c r="H579" i="1"/>
  <c r="H580" i="1"/>
  <c r="H162" i="1" l="1"/>
  <c r="H150" i="1"/>
  <c r="H126" i="1"/>
  <c r="H175" i="1"/>
  <c r="H176" i="1"/>
  <c r="H128" i="1"/>
  <c r="H166" i="1"/>
  <c r="H129" i="1"/>
  <c r="H157" i="1"/>
  <c r="H178" i="1"/>
  <c r="H120" i="1"/>
  <c r="H140" i="1"/>
  <c r="H168" i="1"/>
  <c r="H141" i="1"/>
  <c r="H112" i="1"/>
  <c r="H122" i="1"/>
  <c r="H132" i="1"/>
  <c r="H143" i="1"/>
  <c r="H160" i="1"/>
  <c r="H170" i="1"/>
  <c r="H181" i="1"/>
  <c r="H134" i="1"/>
  <c r="H172" i="1"/>
  <c r="H115" i="1"/>
  <c r="H125" i="1"/>
  <c r="H174" i="1"/>
  <c r="H116" i="1"/>
  <c r="H154" i="1"/>
  <c r="H117" i="1"/>
  <c r="H137" i="1"/>
  <c r="H155" i="1"/>
  <c r="H118" i="1"/>
  <c r="H156" i="1"/>
  <c r="H113" i="1"/>
  <c r="H123" i="1"/>
  <c r="H133" i="1"/>
  <c r="H144" i="1"/>
  <c r="H161" i="1"/>
  <c r="H171" i="1"/>
  <c r="H182" i="1"/>
  <c r="H183" i="1"/>
  <c r="H184" i="1"/>
  <c r="H185" i="1"/>
  <c r="H186" i="1"/>
  <c r="H187" i="1"/>
  <c r="H173" i="1"/>
  <c r="H193" i="1"/>
  <c r="H114" i="1"/>
  <c r="H124" i="1"/>
  <c r="H149" i="1"/>
  <c r="H135" i="1"/>
  <c r="H163" i="1"/>
  <c r="H136" i="1"/>
  <c r="H164" i="1"/>
  <c r="H127" i="1"/>
  <c r="H165" i="1"/>
  <c r="H138" i="1"/>
  <c r="H177" i="1"/>
  <c r="H119" i="1"/>
  <c r="H139" i="1"/>
  <c r="H167" i="1"/>
  <c r="H130" i="1"/>
  <c r="H158" i="1"/>
  <c r="H179" i="1"/>
  <c r="H111" i="1"/>
  <c r="H121" i="1"/>
  <c r="H131" i="1"/>
  <c r="H142" i="1"/>
  <c r="H159" i="1"/>
  <c r="H169" i="1"/>
  <c r="H180" i="1"/>
  <c r="B24" i="2"/>
  <c r="C188" i="1"/>
  <c r="H188" i="1" s="1"/>
  <c r="C189" i="1"/>
  <c r="H189" i="1" s="1"/>
  <c r="C145" i="1"/>
  <c r="H145" i="1" s="1"/>
  <c r="C190" i="1"/>
  <c r="H190" i="1" s="1"/>
  <c r="C146" i="1"/>
  <c r="H146" i="1" s="1"/>
  <c r="C147" i="1"/>
  <c r="H147" i="1" s="1"/>
  <c r="C191" i="1"/>
  <c r="H191" i="1" s="1"/>
  <c r="C524" i="1"/>
  <c r="H524" i="1" s="1"/>
  <c r="C148" i="1"/>
  <c r="H148" i="1" s="1"/>
  <c r="C192" i="1"/>
  <c r="H192" i="1" s="1"/>
  <c r="H271" i="1"/>
  <c r="H373" i="1"/>
  <c r="C14" i="1"/>
  <c r="H407" i="1" s="1"/>
  <c r="H267" i="1"/>
  <c r="H270" i="1"/>
  <c r="H372" i="1"/>
  <c r="H272" i="1"/>
  <c r="H420" i="1"/>
  <c r="H422" i="1"/>
  <c r="B13" i="2"/>
  <c r="B11" i="2"/>
  <c r="H264" i="1"/>
  <c r="H426" i="1"/>
  <c r="H428" i="1"/>
  <c r="H207" i="1"/>
  <c r="H429" i="1"/>
  <c r="H374" i="1"/>
  <c r="H375" i="1"/>
  <c r="C22" i="1"/>
  <c r="H340" i="1" s="1"/>
  <c r="H265" i="1"/>
  <c r="H366" i="1"/>
  <c r="H400" i="1"/>
  <c r="H427" i="1"/>
  <c r="H367" i="1"/>
  <c r="H266" i="1"/>
  <c r="H368" i="1"/>
  <c r="H369" i="1"/>
  <c r="H370" i="1"/>
  <c r="H371" i="1"/>
  <c r="C15" i="1"/>
  <c r="H311" i="1"/>
  <c r="H268" i="1"/>
  <c r="H273" i="1"/>
  <c r="C87" i="1"/>
  <c r="H87" i="1" s="1"/>
  <c r="H88" i="1" s="1"/>
  <c r="H89" i="1" s="1"/>
  <c r="B5" i="2"/>
  <c r="B7" i="2"/>
  <c r="H423" i="1"/>
  <c r="B8" i="2"/>
  <c r="B10" i="2"/>
  <c r="C12" i="1"/>
  <c r="H384" i="1" s="1"/>
  <c r="H313" i="1"/>
  <c r="C17" i="1"/>
  <c r="H424" i="1"/>
  <c r="C18" i="1"/>
  <c r="H444" i="1" s="1"/>
  <c r="H269" i="1"/>
  <c r="H425" i="1"/>
  <c r="H314" i="1"/>
  <c r="H312" i="1"/>
  <c r="B55" i="2"/>
  <c r="B56" i="2" s="1"/>
  <c r="B57" i="2" s="1"/>
  <c r="B36" i="2"/>
  <c r="B37" i="2" s="1"/>
  <c r="B38" i="2" s="1"/>
  <c r="B39" i="2" s="1"/>
  <c r="B40" i="2" s="1"/>
  <c r="B41" i="2" s="1"/>
  <c r="H316" i="1"/>
  <c r="H317" i="1"/>
  <c r="H468" i="1"/>
  <c r="H469" i="1"/>
  <c r="H473" i="1"/>
  <c r="H474" i="1"/>
  <c r="H476" i="1"/>
  <c r="H471" i="1"/>
  <c r="H470" i="1"/>
  <c r="H308" i="1"/>
  <c r="H309" i="1"/>
  <c r="H315" i="1"/>
  <c r="B20" i="2"/>
  <c r="B21" i="2" s="1"/>
  <c r="B22" i="2" s="1"/>
  <c r="B49" i="2"/>
  <c r="B50" i="2" s="1"/>
  <c r="B51" i="2" s="1"/>
  <c r="B61" i="2"/>
  <c r="B62" i="2" s="1"/>
  <c r="B63" i="2" s="1"/>
  <c r="B53" i="2"/>
  <c r="B26" i="2"/>
  <c r="B27" i="2" s="1"/>
  <c r="B28" i="2" s="1"/>
  <c r="B65" i="2"/>
  <c r="B66" i="2" s="1"/>
  <c r="B67" i="2" s="1"/>
  <c r="B68" i="2" s="1"/>
  <c r="B69" i="2" s="1"/>
  <c r="B70" i="2" s="1"/>
  <c r="B32" i="2"/>
  <c r="B33" i="2" s="1"/>
  <c r="B34" i="2" s="1"/>
  <c r="H475" i="1"/>
  <c r="H477" i="1"/>
  <c r="H339" i="1"/>
  <c r="H472" i="1"/>
  <c r="H310" i="1"/>
  <c r="C204" i="1"/>
  <c r="H204" i="1" s="1"/>
  <c r="C212" i="1"/>
  <c r="H212" i="1" s="1"/>
  <c r="C213" i="1"/>
  <c r="H213" i="1" s="1"/>
  <c r="C208" i="1"/>
  <c r="H208" i="1" s="1"/>
  <c r="C532" i="1"/>
  <c r="H532" i="1" s="1"/>
  <c r="C209" i="1"/>
  <c r="H209" i="1" s="1"/>
  <c r="C210" i="1"/>
  <c r="H210" i="1" s="1"/>
  <c r="C525" i="1"/>
  <c r="H525" i="1" s="1"/>
  <c r="C211" i="1"/>
  <c r="H211" i="1" s="1"/>
  <c r="C81" i="1"/>
  <c r="H81" i="1" s="1"/>
  <c r="H82" i="1" s="1"/>
  <c r="H83" i="1" s="1"/>
  <c r="C84" i="1"/>
  <c r="H84" i="1" s="1"/>
  <c r="H85" i="1" s="1"/>
  <c r="C206" i="1"/>
  <c r="H206" i="1" s="1"/>
  <c r="C205" i="1"/>
  <c r="H205" i="1" s="1"/>
  <c r="C526" i="1"/>
  <c r="H526" i="1" s="1"/>
  <c r="C541" i="1"/>
  <c r="H541" i="1" s="1"/>
  <c r="H32" i="1"/>
  <c r="O19" i="1"/>
  <c r="O21" i="1"/>
  <c r="O13" i="1"/>
  <c r="C528" i="1"/>
  <c r="H528" i="1" s="1"/>
  <c r="C529" i="1"/>
  <c r="H529" i="1" s="1"/>
  <c r="C537" i="1"/>
  <c r="H537" i="1" s="1"/>
  <c r="C539" i="1"/>
  <c r="H539" i="1" s="1"/>
  <c r="C538" i="1"/>
  <c r="H538" i="1" s="1"/>
  <c r="C533" i="1"/>
  <c r="H533" i="1" s="1"/>
  <c r="C522" i="1"/>
  <c r="H522" i="1" s="1"/>
  <c r="H240" i="1" l="1"/>
  <c r="H404" i="1"/>
  <c r="H383" i="1"/>
  <c r="H393" i="1" s="1"/>
  <c r="H243" i="1"/>
  <c r="H382" i="1"/>
  <c r="H242" i="1"/>
  <c r="H405" i="1"/>
  <c r="H415" i="1" s="1"/>
  <c r="H490" i="1"/>
  <c r="H482" i="1" s="1"/>
  <c r="H385" i="1"/>
  <c r="H401" i="1"/>
  <c r="H411" i="1" s="1"/>
  <c r="H446" i="1"/>
  <c r="H438" i="1" s="1"/>
  <c r="H222" i="1"/>
  <c r="H489" i="1"/>
  <c r="H481" i="1" s="1"/>
  <c r="H488" i="1"/>
  <c r="H478" i="1" s="1"/>
  <c r="H245" i="1"/>
  <c r="H406" i="1"/>
  <c r="H392" i="1" s="1"/>
  <c r="H408" i="1"/>
  <c r="H417" i="1" s="1"/>
  <c r="H403" i="1"/>
  <c r="H413" i="1" s="1"/>
  <c r="H285" i="1"/>
  <c r="H276" i="1" s="1"/>
  <c r="H337" i="1"/>
  <c r="H325" i="1" s="1"/>
  <c r="H244" i="1"/>
  <c r="H254" i="1" s="1"/>
  <c r="H409" i="1"/>
  <c r="H248" i="1"/>
  <c r="H247" i="1"/>
  <c r="H238" i="1" s="1"/>
  <c r="H241" i="1"/>
  <c r="H251" i="1" s="1"/>
  <c r="H335" i="1"/>
  <c r="H323" i="1" s="1"/>
  <c r="H249" i="1"/>
  <c r="H259" i="1" s="1"/>
  <c r="H332" i="1"/>
  <c r="H319" i="1" s="1"/>
  <c r="H402" i="1"/>
  <c r="H412" i="1" s="1"/>
  <c r="H491" i="1"/>
  <c r="H483" i="1" s="1"/>
  <c r="H246" i="1"/>
  <c r="H256" i="1" s="1"/>
  <c r="H286" i="1"/>
  <c r="H300" i="1" s="1"/>
  <c r="H334" i="1"/>
  <c r="H333" i="1"/>
  <c r="H320" i="1" s="1"/>
  <c r="H497" i="1"/>
  <c r="H496" i="1"/>
  <c r="H447" i="1"/>
  <c r="H457" i="1" s="1"/>
  <c r="H291" i="1"/>
  <c r="H305" i="1" s="1"/>
  <c r="H495" i="1"/>
  <c r="H487" i="1" s="1"/>
  <c r="H290" i="1"/>
  <c r="H304" i="1" s="1"/>
  <c r="H293" i="1"/>
  <c r="H307" i="1" s="1"/>
  <c r="H452" i="1"/>
  <c r="H462" i="1" s="1"/>
  <c r="H494" i="1"/>
  <c r="H492" i="1"/>
  <c r="H484" i="1" s="1"/>
  <c r="H448" i="1"/>
  <c r="H458" i="1" s="1"/>
  <c r="H336" i="1"/>
  <c r="H341" i="1"/>
  <c r="H338" i="1"/>
  <c r="H326" i="1" s="1"/>
  <c r="H493" i="1"/>
  <c r="H485" i="1" s="1"/>
  <c r="H453" i="1"/>
  <c r="H463" i="1" s="1"/>
  <c r="H289" i="1"/>
  <c r="H303" i="1" s="1"/>
  <c r="H287" i="1"/>
  <c r="H278" i="1" s="1"/>
  <c r="P21" i="1"/>
  <c r="Q21" i="1" s="1"/>
  <c r="C21" i="1"/>
  <c r="B14" i="2"/>
  <c r="P13" i="1"/>
  <c r="Q13" i="1" s="1"/>
  <c r="B6" i="2"/>
  <c r="C13" i="1"/>
  <c r="H284" i="1"/>
  <c r="H298" i="1" s="1"/>
  <c r="P19" i="1"/>
  <c r="Q19" i="1" s="1"/>
  <c r="C19" i="1"/>
  <c r="B12" i="2"/>
  <c r="H451" i="1"/>
  <c r="H461" i="1" s="1"/>
  <c r="H445" i="1"/>
  <c r="H436" i="1" s="1"/>
  <c r="H450" i="1"/>
  <c r="H221" i="1"/>
  <c r="H324" i="1"/>
  <c r="H292" i="1"/>
  <c r="H283" i="1" s="1"/>
  <c r="H288" i="1"/>
  <c r="H279" i="1" s="1"/>
  <c r="H449" i="1"/>
  <c r="H459" i="1" s="1"/>
  <c r="H381" i="1"/>
  <c r="H391" i="1" s="1"/>
  <c r="H380" i="1"/>
  <c r="H218" i="1"/>
  <c r="H216" i="1"/>
  <c r="H219" i="1"/>
  <c r="H217" i="1"/>
  <c r="H233" i="1" s="1"/>
  <c r="H377" i="1"/>
  <c r="H387" i="1" s="1"/>
  <c r="H379" i="1"/>
  <c r="H378" i="1"/>
  <c r="H223" i="1"/>
  <c r="H215" i="1"/>
  <c r="H231" i="1" s="1"/>
  <c r="H214" i="1"/>
  <c r="H220" i="1"/>
  <c r="H376" i="1"/>
  <c r="H386" i="1" s="1"/>
  <c r="H440" i="1"/>
  <c r="H479" i="1"/>
  <c r="H454" i="1"/>
  <c r="H327" i="1"/>
  <c r="H414" i="1"/>
  <c r="H486" i="1"/>
  <c r="H480" i="1"/>
  <c r="H410" i="1"/>
  <c r="H277" i="1"/>
  <c r="H439" i="1"/>
  <c r="H255" i="1"/>
  <c r="H253" i="1"/>
  <c r="H252" i="1"/>
  <c r="H434" i="1"/>
  <c r="H250" i="1"/>
  <c r="H435" i="1"/>
  <c r="C56" i="1"/>
  <c r="H56" i="1" s="1"/>
  <c r="H57" i="1" s="1"/>
  <c r="H58" i="1" s="1"/>
  <c r="C75" i="1"/>
  <c r="H75" i="1" s="1"/>
  <c r="H76" i="1" s="1"/>
  <c r="H77" i="1" s="1"/>
  <c r="C62" i="1"/>
  <c r="H62" i="1" s="1"/>
  <c r="C53" i="1"/>
  <c r="H53" i="1" s="1"/>
  <c r="H54" i="1" s="1"/>
  <c r="H55" i="1" s="1"/>
  <c r="C47" i="1"/>
  <c r="H47" i="1" s="1"/>
  <c r="H48" i="1" s="1"/>
  <c r="H49" i="1" s="1"/>
  <c r="H86" i="1"/>
  <c r="H33" i="1"/>
  <c r="H34" i="1"/>
  <c r="H35" i="1"/>
  <c r="H36" i="1" s="1"/>
  <c r="H37" i="1" s="1"/>
  <c r="H50" i="1"/>
  <c r="H51" i="1" s="1"/>
  <c r="H52" i="1" s="1"/>
  <c r="H44" i="1"/>
  <c r="H45" i="1" s="1"/>
  <c r="H46" i="1" s="1"/>
  <c r="H72" i="1"/>
  <c r="H73" i="1" s="1"/>
  <c r="H74" i="1" s="1"/>
  <c r="H388" i="1" l="1"/>
  <c r="H322" i="1"/>
  <c r="H230" i="1"/>
  <c r="H394" i="1"/>
  <c r="H321" i="1"/>
  <c r="H418" i="1"/>
  <c r="H419" i="1"/>
  <c r="H395" i="1"/>
  <c r="H456" i="1"/>
  <c r="C69" i="1"/>
  <c r="H69" i="1" s="1"/>
  <c r="H70" i="1" s="1"/>
  <c r="H71" i="1" s="1"/>
  <c r="H282" i="1"/>
  <c r="H234" i="1"/>
  <c r="H416" i="1"/>
  <c r="H258" i="1"/>
  <c r="H239" i="1"/>
  <c r="H389" i="1"/>
  <c r="H257" i="1"/>
  <c r="H232" i="1"/>
  <c r="H237" i="1"/>
  <c r="H299" i="1"/>
  <c r="H390" i="1"/>
  <c r="H318" i="1"/>
  <c r="H236" i="1"/>
  <c r="H235" i="1"/>
  <c r="H280" i="1"/>
  <c r="H301" i="1"/>
  <c r="H281" i="1"/>
  <c r="H455" i="1"/>
  <c r="H441" i="1"/>
  <c r="H437" i="1"/>
  <c r="H302" i="1"/>
  <c r="H443" i="1"/>
  <c r="H275" i="1"/>
  <c r="H460" i="1"/>
  <c r="H442" i="1"/>
  <c r="H274" i="1"/>
  <c r="H306" i="1"/>
  <c r="H66" i="1"/>
  <c r="H67" i="1" s="1"/>
  <c r="H68" i="1" s="1"/>
  <c r="H41" i="1"/>
  <c r="H42" i="1" s="1"/>
  <c r="H43" i="1" s="1"/>
  <c r="H38" i="1"/>
  <c r="H39" i="1" s="1"/>
  <c r="H40" i="1" s="1"/>
</calcChain>
</file>

<file path=xl/sharedStrings.xml><?xml version="1.0" encoding="utf-8"?>
<sst xmlns="http://schemas.openxmlformats.org/spreadsheetml/2006/main" count="2647" uniqueCount="617">
  <si>
    <t>BLDG DESC</t>
  </si>
  <si>
    <t>RES</t>
  </si>
  <si>
    <t xml:space="preserve"> </t>
  </si>
  <si>
    <t>AGU1</t>
  </si>
  <si>
    <t>AGU2</t>
  </si>
  <si>
    <t>AGF1</t>
  </si>
  <si>
    <t>AGF2</t>
  </si>
  <si>
    <t>DGU1</t>
  </si>
  <si>
    <t>DGU2</t>
  </si>
  <si>
    <t>DGF1</t>
  </si>
  <si>
    <t>DGF2</t>
  </si>
  <si>
    <t>CRPT</t>
  </si>
  <si>
    <t>ATT GAR UNF-1</t>
  </si>
  <si>
    <t>ATT GAR UNF-2</t>
  </si>
  <si>
    <t>ATT GAR FIN-1</t>
  </si>
  <si>
    <t>ATT GAR FIN-2</t>
  </si>
  <si>
    <t>DET GAR UNF-1</t>
  </si>
  <si>
    <t>DET GAR INF-2</t>
  </si>
  <si>
    <t>DET GAR FIN-1</t>
  </si>
  <si>
    <t>DET GAR FIN-2</t>
  </si>
  <si>
    <t>BARN</t>
  </si>
  <si>
    <t>WB1</t>
  </si>
  <si>
    <t>WB1+</t>
  </si>
  <si>
    <t>WB2</t>
  </si>
  <si>
    <t>WB2+</t>
  </si>
  <si>
    <t>WB3</t>
  </si>
  <si>
    <t>MB1</t>
  </si>
  <si>
    <t>MB1+</t>
  </si>
  <si>
    <t>MB2</t>
  </si>
  <si>
    <t>MB2+</t>
  </si>
  <si>
    <t>MB3</t>
  </si>
  <si>
    <t>NAME</t>
  </si>
  <si>
    <t xml:space="preserve">COST </t>
  </si>
  <si>
    <t>TOTAL OR UNIT</t>
  </si>
  <si>
    <t>DESCRIPTION</t>
  </si>
  <si>
    <t>U</t>
  </si>
  <si>
    <t>BALCONY</t>
  </si>
  <si>
    <t>BALC</t>
  </si>
  <si>
    <t>BZWY</t>
  </si>
  <si>
    <t>BREEZEWAY</t>
  </si>
  <si>
    <t>SHED</t>
  </si>
  <si>
    <t>SW1</t>
  </si>
  <si>
    <t>SW2</t>
  </si>
  <si>
    <t>SW3</t>
  </si>
  <si>
    <t>SW1+</t>
  </si>
  <si>
    <t>SW2+</t>
  </si>
  <si>
    <t>SW3+</t>
  </si>
  <si>
    <t>SM1</t>
  </si>
  <si>
    <t>SM2</t>
  </si>
  <si>
    <t>SM3</t>
  </si>
  <si>
    <t>SM1+</t>
  </si>
  <si>
    <t>SM2+</t>
  </si>
  <si>
    <t>SM3+</t>
  </si>
  <si>
    <t>HAY</t>
  </si>
  <si>
    <t>STG1</t>
  </si>
  <si>
    <t>STG2</t>
  </si>
  <si>
    <t>STG3</t>
  </si>
  <si>
    <t>STG4</t>
  </si>
  <si>
    <t>STORAGE FAIR</t>
  </si>
  <si>
    <t>STORAGE GOOD</t>
  </si>
  <si>
    <t>WD1</t>
  </si>
  <si>
    <t>WD2</t>
  </si>
  <si>
    <t>WD3</t>
  </si>
  <si>
    <t>WD4</t>
  </si>
  <si>
    <t>SM</t>
  </si>
  <si>
    <t>SM+</t>
  </si>
  <si>
    <t>SW+</t>
  </si>
  <si>
    <t>SW</t>
  </si>
  <si>
    <t>STR1</t>
  </si>
  <si>
    <t>STR2</t>
  </si>
  <si>
    <t>STR3</t>
  </si>
  <si>
    <t>1 &amp; 1/2 STORY</t>
  </si>
  <si>
    <t>FULL TWO STORY</t>
  </si>
  <si>
    <t>D</t>
  </si>
  <si>
    <t>CP</t>
  </si>
  <si>
    <t>EP</t>
  </si>
  <si>
    <t>GP</t>
  </si>
  <si>
    <t>SP</t>
  </si>
  <si>
    <t>HAY+</t>
  </si>
  <si>
    <t>BSF1</t>
  </si>
  <si>
    <t>BSF2</t>
  </si>
  <si>
    <t>BSUN</t>
  </si>
  <si>
    <t>DCK1</t>
  </si>
  <si>
    <t>DCK2</t>
  </si>
  <si>
    <t>DCK3</t>
  </si>
  <si>
    <t>DCK4</t>
  </si>
  <si>
    <t>POL1</t>
  </si>
  <si>
    <t>POL2</t>
  </si>
  <si>
    <t>POL3</t>
  </si>
  <si>
    <t>GHS1</t>
  </si>
  <si>
    <t>GHS2</t>
  </si>
  <si>
    <t>GHS3</t>
  </si>
  <si>
    <t>GHS4</t>
  </si>
  <si>
    <t>WD1R</t>
  </si>
  <si>
    <t>WD2R</t>
  </si>
  <si>
    <t>WD3R</t>
  </si>
  <si>
    <t>WD4R</t>
  </si>
  <si>
    <t>WDSHD3CONC</t>
  </si>
  <si>
    <t>WDSHD3DIRT</t>
  </si>
  <si>
    <t>WDSHDDIRT</t>
  </si>
  <si>
    <t>WDSHDCONC</t>
  </si>
  <si>
    <t>WDSHD1DIRT</t>
  </si>
  <si>
    <t>WDSHD1CONC</t>
  </si>
  <si>
    <t>WDSHD2DIRT</t>
  </si>
  <si>
    <t>WDSHD2CONC</t>
  </si>
  <si>
    <t>MTLSHDDIRT</t>
  </si>
  <si>
    <t>MTLSHDCONC</t>
  </si>
  <si>
    <t>MTLSHD1DIRT</t>
  </si>
  <si>
    <t>MTLSHD1CONC</t>
  </si>
  <si>
    <t>MTLSHD2DIRT</t>
  </si>
  <si>
    <t>MTLSHD2CONC</t>
  </si>
  <si>
    <t>MTLSHD3DIRT</t>
  </si>
  <si>
    <t>MTLSHD3CONC</t>
  </si>
  <si>
    <t>MTLSHDHAY</t>
  </si>
  <si>
    <t>MTLSHDCONCHAY</t>
  </si>
  <si>
    <t>STORAGE EXC</t>
  </si>
  <si>
    <t>STORAGE AVG</t>
  </si>
  <si>
    <t>1/2WALL GLS PRCH</t>
  </si>
  <si>
    <t>VERYGOODQUALFRM</t>
  </si>
  <si>
    <t>VG/EXC QUAL FRM</t>
  </si>
  <si>
    <t>GD/VG QUAL FRM</t>
  </si>
  <si>
    <t>AVG-GD QUAL FRM</t>
  </si>
  <si>
    <t>AVG QUAL FRM</t>
  </si>
  <si>
    <t>FR-AVG QUAL FRM</t>
  </si>
  <si>
    <t>FAIR QUAL FRM</t>
  </si>
  <si>
    <t>LOW-FR QUAL FRM</t>
  </si>
  <si>
    <t>ENCL PORCH</t>
  </si>
  <si>
    <t>CRPT SIM TO HSE</t>
  </si>
  <si>
    <t>VG-EXCQUALMAS</t>
  </si>
  <si>
    <t>LOW QUAL MASONRY</t>
  </si>
  <si>
    <t>LO-FRQUALMASONRY</t>
  </si>
  <si>
    <t>FAIRQUAL MASONRY</t>
  </si>
  <si>
    <t>FR-AVG QUAL MAS</t>
  </si>
  <si>
    <t>AV-GDQUALMASONRY</t>
  </si>
  <si>
    <t>GD-VGQUALMASONRY</t>
  </si>
  <si>
    <t>VERYGOOD QUALMAS</t>
  </si>
  <si>
    <t>BSMTFIN ONE ROOM</t>
  </si>
  <si>
    <t>BSMTFIN SIMTOHSE</t>
  </si>
  <si>
    <t>BSMNT UNFIN</t>
  </si>
  <si>
    <t xml:space="preserve">ADDITON LOW </t>
  </si>
  <si>
    <t xml:space="preserve">ADDITION FAIR </t>
  </si>
  <si>
    <t>ADDITION AVG</t>
  </si>
  <si>
    <t>ADDITION EXC</t>
  </si>
  <si>
    <t>MTLBARN DIRT FLR</t>
  </si>
  <si>
    <t>MTLBARN CONC FLR</t>
  </si>
  <si>
    <t>MTLBARN HORSESTL</t>
  </si>
  <si>
    <t>WDBARN DIRT FLR</t>
  </si>
  <si>
    <t>WDBARN CONC FLR</t>
  </si>
  <si>
    <t>WDBARN HORSESTL</t>
  </si>
  <si>
    <t>FM1</t>
  </si>
  <si>
    <t>FM1+</t>
  </si>
  <si>
    <t>FM2</t>
  </si>
  <si>
    <t>FM2+</t>
  </si>
  <si>
    <t>FM3</t>
  </si>
  <si>
    <t>FM3+</t>
  </si>
  <si>
    <t>FM4</t>
  </si>
  <si>
    <t>FM4+</t>
  </si>
  <si>
    <t>FM5</t>
  </si>
  <si>
    <t>FM5+</t>
  </si>
  <si>
    <t>FM6</t>
  </si>
  <si>
    <t>FV1</t>
  </si>
  <si>
    <t>FV1+</t>
  </si>
  <si>
    <t>FV2</t>
  </si>
  <si>
    <t>FV2+</t>
  </si>
  <si>
    <t>FV3</t>
  </si>
  <si>
    <t>FV3+</t>
  </si>
  <si>
    <t>FV4</t>
  </si>
  <si>
    <t>FV4+</t>
  </si>
  <si>
    <t>FV5</t>
  </si>
  <si>
    <t>FV5+</t>
  </si>
  <si>
    <t>FV6</t>
  </si>
  <si>
    <t>ADD1</t>
  </si>
  <si>
    <t>ADD2</t>
  </si>
  <si>
    <t>ADD3</t>
  </si>
  <si>
    <t>ADD4</t>
  </si>
  <si>
    <t>BV1</t>
  </si>
  <si>
    <t>BV1+</t>
  </si>
  <si>
    <t>BV2</t>
  </si>
  <si>
    <t>BV2+</t>
  </si>
  <si>
    <t>BV3</t>
  </si>
  <si>
    <t>BV3+</t>
  </si>
  <si>
    <t>BV4</t>
  </si>
  <si>
    <t>BV4+</t>
  </si>
  <si>
    <t>BV5</t>
  </si>
  <si>
    <t>BV5+</t>
  </si>
  <si>
    <t>FR1</t>
  </si>
  <si>
    <t>FR1+</t>
  </si>
  <si>
    <t>FR2</t>
  </si>
  <si>
    <t>FR2+</t>
  </si>
  <si>
    <t>FR3</t>
  </si>
  <si>
    <t>FR3+</t>
  </si>
  <si>
    <t>FR4</t>
  </si>
  <si>
    <t>FR4+</t>
  </si>
  <si>
    <t>FR5</t>
  </si>
  <si>
    <t>FR5+</t>
  </si>
  <si>
    <t>FR6</t>
  </si>
  <si>
    <t>FR+</t>
  </si>
  <si>
    <t>BV+</t>
  </si>
  <si>
    <t>BV6</t>
  </si>
  <si>
    <t>CP1</t>
  </si>
  <si>
    <t>CP2</t>
  </si>
  <si>
    <t>STG5</t>
  </si>
  <si>
    <t>SM4</t>
  </si>
  <si>
    <t>SM4+</t>
  </si>
  <si>
    <t>CHCA1</t>
  </si>
  <si>
    <t>CHCA1+</t>
  </si>
  <si>
    <t>CHCA2</t>
  </si>
  <si>
    <t>CHCA2+</t>
  </si>
  <si>
    <t>CHCA3</t>
  </si>
  <si>
    <t>CHCA3+</t>
  </si>
  <si>
    <t>CHCA4</t>
  </si>
  <si>
    <t>CHCA4+</t>
  </si>
  <si>
    <t>CHCA5</t>
  </si>
  <si>
    <t>CHCA5+</t>
  </si>
  <si>
    <t>CHCA6</t>
  </si>
  <si>
    <t>2FM1</t>
  </si>
  <si>
    <t>2FM1+</t>
  </si>
  <si>
    <t>2FM2</t>
  </si>
  <si>
    <t>2FM2+</t>
  </si>
  <si>
    <t>2FM3</t>
  </si>
  <si>
    <t>2FM3+</t>
  </si>
  <si>
    <t>2FM4</t>
  </si>
  <si>
    <t>2FM4+</t>
  </si>
  <si>
    <t>2FM5</t>
  </si>
  <si>
    <t>2FM5+</t>
  </si>
  <si>
    <t>2FM6</t>
  </si>
  <si>
    <t>2FV1</t>
  </si>
  <si>
    <t>2FV1+</t>
  </si>
  <si>
    <t>2FV2</t>
  </si>
  <si>
    <t>2FV2+</t>
  </si>
  <si>
    <t>2FV3</t>
  </si>
  <si>
    <t>2FV3+</t>
  </si>
  <si>
    <t>2FV4</t>
  </si>
  <si>
    <t>2FV4+</t>
  </si>
  <si>
    <t>2FV5</t>
  </si>
  <si>
    <t>2FV5+</t>
  </si>
  <si>
    <t>2FV6</t>
  </si>
  <si>
    <t>RESIDENTIAL</t>
  </si>
  <si>
    <t>SCHEDULES</t>
  </si>
  <si>
    <t>CBN</t>
  </si>
  <si>
    <t>MB4+</t>
  </si>
  <si>
    <t xml:space="preserve">MB4 </t>
  </si>
  <si>
    <t>CBN1</t>
  </si>
  <si>
    <t>CBN2</t>
  </si>
  <si>
    <t>CBN3</t>
  </si>
  <si>
    <t>CBN4</t>
  </si>
  <si>
    <t>CP3</t>
  </si>
  <si>
    <t>RFLINE COV PORCH</t>
  </si>
  <si>
    <t>CUSTOM PATIO W/O ROOF</t>
  </si>
  <si>
    <t>CUSTOM PATIO W ROOF</t>
  </si>
  <si>
    <t>POV1</t>
  </si>
  <si>
    <t>POV2</t>
  </si>
  <si>
    <t>POV3</t>
  </si>
  <si>
    <t>POV4</t>
  </si>
  <si>
    <t>POG4</t>
  </si>
  <si>
    <t>POG3</t>
  </si>
  <si>
    <t>POG2</t>
  </si>
  <si>
    <t>POG1</t>
  </si>
  <si>
    <t xml:space="preserve">MTLBARN CONC </t>
  </si>
  <si>
    <t xml:space="preserve">WDBARN DIRT </t>
  </si>
  <si>
    <t xml:space="preserve">WDBARN CONC </t>
  </si>
  <si>
    <t>DGSH</t>
  </si>
  <si>
    <t>URBAN MTL SHOP/GAR</t>
  </si>
  <si>
    <t>MB3+</t>
  </si>
  <si>
    <t>POL4</t>
  </si>
  <si>
    <t>HVAC LOW QUAL</t>
  </si>
  <si>
    <t>HVAC FR QUAL</t>
  </si>
  <si>
    <t>HVAC FR TO AV QUAL</t>
  </si>
  <si>
    <t>HVAC LOW TO FR QUAL</t>
  </si>
  <si>
    <t>HVAC AV QUAL</t>
  </si>
  <si>
    <t>HVAC AV TO GD QUAL</t>
  </si>
  <si>
    <t>HVAC GD QUAL</t>
  </si>
  <si>
    <t>HVAC GD TO VG QUAL</t>
  </si>
  <si>
    <t>HVAC VG QUAL</t>
  </si>
  <si>
    <t>HVAC VG TO EX QUAL</t>
  </si>
  <si>
    <t>HVAC EX QUAL</t>
  </si>
  <si>
    <t>FP MTL 1ST LO QUAL</t>
  </si>
  <si>
    <t>FP MTL 1ST LO TO FR QUAL</t>
  </si>
  <si>
    <t>FP MTL 1ST FR QUAL</t>
  </si>
  <si>
    <t>FP MTL 1ST FR TO AV QUAL</t>
  </si>
  <si>
    <t>FP MTL 1ST AV QUAL</t>
  </si>
  <si>
    <t>FP MTL 1ST AV TO GD QUAL</t>
  </si>
  <si>
    <t>FP MTL 1ST GD QUAL</t>
  </si>
  <si>
    <t>FP MTL 1ST GD TO VG QUAL</t>
  </si>
  <si>
    <t>FP MTL 1ST VG QUAL</t>
  </si>
  <si>
    <t>FP MTL 1ST VG TO EX QUAL</t>
  </si>
  <si>
    <t>FP MTL 1ST EX QUAL</t>
  </si>
  <si>
    <t>FP MAS 1ST LO QUAL</t>
  </si>
  <si>
    <t>FP MAS 1ST LO TO FR QUAL</t>
  </si>
  <si>
    <t>FP MAS 1ST FR QUAL</t>
  </si>
  <si>
    <t>FP MAS 1ST FR TO AV QUAL</t>
  </si>
  <si>
    <t>FP MAS 1ST AV QUAL</t>
  </si>
  <si>
    <t>FP MAS 1ST AV TO GD QUAL</t>
  </si>
  <si>
    <t>FP MAS 1ST GD QUAL</t>
  </si>
  <si>
    <t>FP MAS 1ST GD TO VG QUAL</t>
  </si>
  <si>
    <t>FP MAS 1ST VG QUAL</t>
  </si>
  <si>
    <t>FP MAS 1ST VG TO EX QUAL</t>
  </si>
  <si>
    <t>FP MAS 1ST EX QUAL</t>
  </si>
  <si>
    <t>FP MTL 2ST LO QUAL</t>
  </si>
  <si>
    <t>FP MTL 2ST LO TO FR QUAL</t>
  </si>
  <si>
    <t>FP MTL 2ST FR QUAL</t>
  </si>
  <si>
    <t>FP MTL 2ST FR TO AV QUAL</t>
  </si>
  <si>
    <t>FP MTL 2ST AV QUAL</t>
  </si>
  <si>
    <t>FP MTL 2ST AV TO GD QUAL</t>
  </si>
  <si>
    <t>FP MTL 2ST GD QUAL</t>
  </si>
  <si>
    <t>FP MTL 2ST GD VG QUAL</t>
  </si>
  <si>
    <t>FP MTL 2ST VG QUAL</t>
  </si>
  <si>
    <t>FP MTL 2ST VG TO EX QUAL</t>
  </si>
  <si>
    <t>FP MTL 2ST EX QUAL</t>
  </si>
  <si>
    <t>FP MAS 2ST LO QUAL</t>
  </si>
  <si>
    <t>FP MAS 2ST LO TO FR QUAL</t>
  </si>
  <si>
    <t>FP MAS 2ST FR QUAL</t>
  </si>
  <si>
    <t>FP MAS 2ST FR TO AV QUAL</t>
  </si>
  <si>
    <t>FP MAS 2ST AV QUAL</t>
  </si>
  <si>
    <t>FP MAS 2ST AV TO GD QUAL</t>
  </si>
  <si>
    <t>FP MAS 2ST GD QUAL</t>
  </si>
  <si>
    <t>FP MAS 2ST GD TO VG QUAL</t>
  </si>
  <si>
    <t>FP MAS 2ST VG QUAL</t>
  </si>
  <si>
    <t>FP MAS 2ST VG TO EX QUAL</t>
  </si>
  <si>
    <t>FP MAS 2ST EX QUAL</t>
  </si>
  <si>
    <t>HEAT/AIR</t>
  </si>
  <si>
    <t>Metal 1 story</t>
  </si>
  <si>
    <t>Masonry 1 story</t>
  </si>
  <si>
    <t>Metal 2 story</t>
  </si>
  <si>
    <t>Masonry 2 story</t>
  </si>
  <si>
    <t>ASPH1</t>
  </si>
  <si>
    <t>ASPH2</t>
  </si>
  <si>
    <t>ASPH3</t>
  </si>
  <si>
    <t>CONC1</t>
  </si>
  <si>
    <t>CONC2</t>
  </si>
  <si>
    <t>CONC3</t>
  </si>
  <si>
    <t>GRAV1</t>
  </si>
  <si>
    <t>GRAV3</t>
  </si>
  <si>
    <t>Sq Ft</t>
  </si>
  <si>
    <t>Bldg</t>
  </si>
  <si>
    <t>$ / Sq Ft</t>
  </si>
  <si>
    <t>Bldg %</t>
  </si>
  <si>
    <t>POOL EXC QLTY VINYL LINED</t>
  </si>
  <si>
    <t xml:space="preserve">  </t>
  </si>
  <si>
    <t>RESIDENTIAL ATTRIBUTES</t>
  </si>
  <si>
    <t>GRAVEL/CRUSHED LOW</t>
  </si>
  <si>
    <t>GRAVEL/CRUSHED AVG</t>
  </si>
  <si>
    <t>GRAVEL/CRUSHED EXC</t>
  </si>
  <si>
    <t>PERGOLA/OUTDOOR KITCH</t>
  </si>
  <si>
    <t>POOL LOW QLTY VINYL LINE</t>
  </si>
  <si>
    <t>POOL AVG QLTY VINYL LINE</t>
  </si>
  <si>
    <t>POOL GOOD QLTY VINYL LINE</t>
  </si>
  <si>
    <t>POOL LOW QLTY GUNNITE</t>
  </si>
  <si>
    <t>POOL LOW QLTY</t>
  </si>
  <si>
    <t xml:space="preserve">POOL AVG QLTY </t>
  </si>
  <si>
    <t>POOL GOOD QLTY</t>
  </si>
  <si>
    <t xml:space="preserve">POOL EXC QLTY </t>
  </si>
  <si>
    <t>POOL AVG QLTY GUNNITE</t>
  </si>
  <si>
    <t>POOL GOOD QLTY GUNNITE</t>
  </si>
  <si>
    <t>POOL EXC QLTY GUNNITE</t>
  </si>
  <si>
    <t>HALF WALL SCRN PRCH</t>
  </si>
  <si>
    <t>STORAGE EQ TO RES QLTY</t>
  </si>
  <si>
    <t>GAR APT OR POOR 2ND</t>
  </si>
  <si>
    <t>HVY DTY AG BARN NO CONC</t>
  </si>
  <si>
    <t>HVY DTY AG BARN CONC</t>
  </si>
  <si>
    <t>ASPH4</t>
  </si>
  <si>
    <t xml:space="preserve">ASPHALT 2 in </t>
  </si>
  <si>
    <t xml:space="preserve">ASPHALT 3 in </t>
  </si>
  <si>
    <t xml:space="preserve">ASPHALT 4 in </t>
  </si>
  <si>
    <t xml:space="preserve">ASPHALT 6 in </t>
  </si>
  <si>
    <t>CONCRETE LOW 3 IN</t>
  </si>
  <si>
    <t>CONCRETE AVG 4 IN</t>
  </si>
  <si>
    <t>CONCRETE EXC 6 IN</t>
  </si>
  <si>
    <t>Local</t>
  </si>
  <si>
    <t>Multiplier</t>
  </si>
  <si>
    <t>Frame</t>
  </si>
  <si>
    <t>Masonry</t>
  </si>
  <si>
    <t>SECTION A</t>
  </si>
  <si>
    <t>Single Family</t>
  </si>
  <si>
    <t>G, VG &amp; Ex</t>
  </si>
  <si>
    <t>L, F &amp; A</t>
  </si>
  <si>
    <t>Special</t>
  </si>
  <si>
    <t>SECTION B</t>
  </si>
  <si>
    <t>SECTION C</t>
  </si>
  <si>
    <t>Seg Costs</t>
  </si>
  <si>
    <t>Yard Improvements</t>
  </si>
  <si>
    <t>Unit in Place</t>
  </si>
  <si>
    <t>Green</t>
  </si>
  <si>
    <t>C18 - 36</t>
  </si>
  <si>
    <t>C1 - 17</t>
  </si>
  <si>
    <t>Spec12 - 39</t>
  </si>
  <si>
    <t>B1-28</t>
  </si>
  <si>
    <t>CENTRAL</t>
  </si>
  <si>
    <t>n/a</t>
  </si>
  <si>
    <t>Section</t>
  </si>
  <si>
    <t>Page</t>
  </si>
  <si>
    <t>Base</t>
  </si>
  <si>
    <t>C</t>
  </si>
  <si>
    <t>A</t>
  </si>
  <si>
    <t>Extrapolated between Low and Fair</t>
  </si>
  <si>
    <t>Extrapolated between Fair and Avg</t>
  </si>
  <si>
    <t>Extrapolated between Avg and Good</t>
  </si>
  <si>
    <t>Extrapolated between Good and VG</t>
  </si>
  <si>
    <t>Extrapolated between VG and EX</t>
  </si>
  <si>
    <t>Green     1 - 28</t>
  </si>
  <si>
    <t>MFG       1 - 26</t>
  </si>
  <si>
    <t>Mobile/  MFG</t>
  </si>
  <si>
    <t>Multiple  Res</t>
  </si>
  <si>
    <t>Mul              3 - 19</t>
  </si>
  <si>
    <t>TownH          &amp; Dup</t>
  </si>
  <si>
    <t>Mul               21 - 37</t>
  </si>
  <si>
    <t>Urban     Row</t>
  </si>
  <si>
    <t>Mul              38 - 49</t>
  </si>
  <si>
    <t>Spec        1 - 11</t>
  </si>
  <si>
    <t>HVAC</t>
  </si>
  <si>
    <t>DESC</t>
  </si>
  <si>
    <t>VL</t>
  </si>
  <si>
    <t>VG</t>
  </si>
  <si>
    <t>EX</t>
  </si>
  <si>
    <t>LO-FR</t>
  </si>
  <si>
    <t>FR-AVG</t>
  </si>
  <si>
    <t>FAIR</t>
  </si>
  <si>
    <t>LOW</t>
  </si>
  <si>
    <t>AVG</t>
  </si>
  <si>
    <t>AV-GD</t>
  </si>
  <si>
    <t>GOOD</t>
  </si>
  <si>
    <t>GD-VG</t>
  </si>
  <si>
    <t>VG-EX</t>
  </si>
  <si>
    <t>Extrapolated from the difference of LO-FR and LOW subtracted from the LOW</t>
  </si>
  <si>
    <t xml:space="preserve">Extrapolated from the difference of FAIR and LOW </t>
  </si>
  <si>
    <t xml:space="preserve">Extrapolated from the difference of FAIR and AVG </t>
  </si>
  <si>
    <t>Extrapolated from the difference of AVG AND GOOD</t>
  </si>
  <si>
    <t>Extrapolated from the difference of GOOD AND VG</t>
  </si>
  <si>
    <t>Extrapolated from the difference of VG AND EX</t>
  </si>
  <si>
    <t>LOW-9</t>
  </si>
  <si>
    <t>FAIR-19</t>
  </si>
  <si>
    <t>AVG-27</t>
  </si>
  <si>
    <t>GD-23</t>
  </si>
  <si>
    <t>VG-21</t>
  </si>
  <si>
    <t>Used Refrigerated A/C zoned system plus package unit</t>
  </si>
  <si>
    <t>Description</t>
  </si>
  <si>
    <t>EX-15</t>
  </si>
  <si>
    <t>EXC QUAL FRAME STONE VENEER</t>
  </si>
  <si>
    <t>EXC QUAL MASONRY STONE ON BLOCK</t>
  </si>
  <si>
    <t>GOOD QUAL FRM MASONRY VENEER</t>
  </si>
  <si>
    <t>GOOD QUAL MASONRY FACE BRICK</t>
  </si>
  <si>
    <t>AVG QUAL MASONRY COMMON BRICK</t>
  </si>
  <si>
    <t>VERY LOW QUAL FRM WOOD SIDING</t>
  </si>
  <si>
    <t>LOW QUAL FRM MASONRY VENEER</t>
  </si>
  <si>
    <t>VERY LOW QUAL MASONRY CONCRETE BLK</t>
  </si>
  <si>
    <t>Local Multiplier = Section 99 Page 10</t>
  </si>
  <si>
    <t>Cost Multipliers = Section 99 Page 3</t>
  </si>
  <si>
    <t>Calculator Cost Section, Central, Section 18-D</t>
  </si>
  <si>
    <t>Calculator Cost Section, Central, Section 12-D for frame, 12-C for Masonry</t>
  </si>
  <si>
    <t>Calculator Cost Section, Central, Section 63 Manufactored Housing</t>
  </si>
  <si>
    <t>Segregated Cost Section, 42 C/D</t>
  </si>
  <si>
    <t>Unit-In-Place Cost Section, Central, Section 66 Yard Improvements</t>
  </si>
  <si>
    <t>Unit-In-Place Cost Section, Central, Section 70 Green Section</t>
  </si>
  <si>
    <t>Single Fam HVAC</t>
  </si>
  <si>
    <t>High Value Res HVAC</t>
  </si>
  <si>
    <t>Section 12 Page 38, Moderate Climate, red extrapolated, black bold from M&amp;S</t>
  </si>
  <si>
    <t>Section 12 Page 27, Moderate Climate, red extrapolated, black bold from M&amp;S</t>
  </si>
  <si>
    <t>Percentages calculated from High Value HVAC section, red extrapolated, black bold from M&amp;S numbers</t>
  </si>
  <si>
    <t>Hide</t>
  </si>
  <si>
    <t>Section 66 Page 2, 2" asphalt + 2" aggregate base</t>
  </si>
  <si>
    <t>Section 66 Page 2, 2" asphalt + 2" aggregate base and 1" adds</t>
  </si>
  <si>
    <t>use additional factor for 3000+ sf (subdivision cost)?</t>
  </si>
  <si>
    <t>2" asphalt (average of high and low)</t>
  </si>
  <si>
    <t>2" aggregate base (average of high and low)</t>
  </si>
  <si>
    <t>plus 1" of asphalt (average of high and low)</t>
  </si>
  <si>
    <t>plus 1" of aggregate base (average of high and low)</t>
  </si>
  <si>
    <t>Section 17 Page 30 Class S Low cost</t>
  </si>
  <si>
    <t>MTLBARN DIRT FLR - Low Cost</t>
  </si>
  <si>
    <t>Section 17 Page 30 Class S Average</t>
  </si>
  <si>
    <t>Section 17 Page 30 Class S Good</t>
  </si>
  <si>
    <t>MTLBARN CONC - Average</t>
  </si>
  <si>
    <t xml:space="preserve">MTLBARN HORSESTL </t>
  </si>
  <si>
    <t>Section 66 Page 2, 4" concrete unreinforced</t>
  </si>
  <si>
    <t>4" concrete unreinforced</t>
  </si>
  <si>
    <t>add or deduct per 1" variation, average of high and low</t>
  </si>
  <si>
    <t>add for mesh reinforcing</t>
  </si>
  <si>
    <t>CONCRETE LOW 3 IN - unreinforced</t>
  </si>
  <si>
    <t>CONCRETE AVG 4 IN - reinforced</t>
  </si>
  <si>
    <t>CONCRETE EXC 6 IN - reinforced</t>
  </si>
  <si>
    <t>MTLBARN CONC I-BEAM - Good</t>
  </si>
  <si>
    <t xml:space="preserve">MTLBARN DIRT I-BEAM </t>
  </si>
  <si>
    <t>Cheap (used % difference between cheap and low cost of residential schedule)</t>
  </si>
  <si>
    <t>Low Cost (added concrete cost)</t>
  </si>
  <si>
    <t>Average (subtracted cost of concrete from mtlbarn conc)</t>
  </si>
  <si>
    <t>Good (subtracted cost of concrete from mtlbarn conc i-beam)</t>
  </si>
  <si>
    <t>Section 17 Page 36 Class D Average</t>
  </si>
  <si>
    <t>Section 17 Page 30 Class D Low Cost</t>
  </si>
  <si>
    <t>Low cost (add concrete cost)</t>
  </si>
  <si>
    <t>Cheap</t>
  </si>
  <si>
    <t>Section 66 Page 2, 4" gravel base from cost range low</t>
  </si>
  <si>
    <t>Section 66 Page 2, 4" gravel base from cost range high</t>
  </si>
  <si>
    <t>GRAV2</t>
  </si>
  <si>
    <t>Section 12 Page 25, for rate Class D Masonry Veneer</t>
  </si>
  <si>
    <t>extrapolated using Class D percentage between Cheap and Average</t>
  </si>
  <si>
    <t>Section 12 Page 26, for shape and size adjustment (square)</t>
  </si>
  <si>
    <t>Section 12 Page 26, for shape and size adjustment (rectangular or slightly irregular)</t>
  </si>
  <si>
    <t>Section 12 Page 26, for shape and size adjustment (long rectangular or irregular)</t>
  </si>
  <si>
    <t>Section 12 Page 26, for shape and size adjustment (very irregular)</t>
  </si>
  <si>
    <t xml:space="preserve">Section 12 Page 25, for rate Class D </t>
  </si>
  <si>
    <t>?</t>
  </si>
  <si>
    <t>?s12p38-41</t>
  </si>
  <si>
    <t>?s12p35</t>
  </si>
  <si>
    <t>?s12p40</t>
  </si>
  <si>
    <t>low</t>
  </si>
  <si>
    <t>avg</t>
  </si>
  <si>
    <t>sf</t>
  </si>
  <si>
    <t>s66p6</t>
  </si>
  <si>
    <t>good</t>
  </si>
  <si>
    <t>?s17p12</t>
  </si>
  <si>
    <t>?s12p34 interior build-out</t>
  </si>
  <si>
    <t>?s17p33</t>
  </si>
  <si>
    <t>from "Bldg Cost" at A9</t>
  </si>
  <si>
    <t>Section 12 Page 38 (res)</t>
  </si>
  <si>
    <t>Section 12 Page 37, A-Frame</t>
  </si>
  <si>
    <t>CABIN (A-Frame)</t>
  </si>
  <si>
    <t>Section 12 Page 36, Low-Cost</t>
  </si>
  <si>
    <t>CABIN LOW (Unfinished Interior, no Electric)</t>
  </si>
  <si>
    <t>CABIN AVG (Minimal Finish Interior + Electric)</t>
  </si>
  <si>
    <t>Section 12 Page 36, Prefabricated Cottages</t>
  </si>
  <si>
    <t>CABIN GOOD (Full Finished Interior, Prof Grade)</t>
  </si>
  <si>
    <t>CABIN EXC (Full Finished Interior, Prof Grade)</t>
  </si>
  <si>
    <t>BOATDOCK FAIR (Floating Dock, Light Constr)</t>
  </si>
  <si>
    <t>Section 67 Page 6, Ship and Boat Docks</t>
  </si>
  <si>
    <t>BOATDOCK AVG (3" Decking, Light Constr)</t>
  </si>
  <si>
    <t>BOATDOCK GOOD (3" Decking, Medium Constr)</t>
  </si>
  <si>
    <t>BOATDOCK EXC (4" Decking, Heavy Constr)</t>
  </si>
  <si>
    <t>GREENHOUSE FAIR (Gravel Floor, Min Elect)</t>
  </si>
  <si>
    <t>GREENHOUSE AVG (Grvl w/some Conc, Avg Elec</t>
  </si>
  <si>
    <t>GREENHOUSE GOOD (Conc walks, Adeq Electr)</t>
  </si>
  <si>
    <t>GREENHOUSE EXC (Gd conc walks, Electr, Water)</t>
  </si>
  <si>
    <t>Section 17 Page 22-23</t>
  </si>
  <si>
    <t>WDDK LOW QUAL</t>
  </si>
  <si>
    <t>WDDKRF FR QUAL</t>
  </si>
  <si>
    <t>WDDK AVG QUAL</t>
  </si>
  <si>
    <t>WDDKRF AVG QUAL</t>
  </si>
  <si>
    <t>WDDK GD QUAL</t>
  </si>
  <si>
    <t>Section 12 Page 40, at 300 sf</t>
  </si>
  <si>
    <t>WDDKRF EXC QUAL</t>
  </si>
  <si>
    <t>WDDKRF GD QUAL</t>
  </si>
  <si>
    <t>WDDK EXC QUAL</t>
  </si>
  <si>
    <t>DELETE to here</t>
  </si>
  <si>
    <t>Auto adjustment to '$/Sq Ft' rate for Fx1-3 and Bx1-3 (column H)</t>
  </si>
  <si>
    <t>66 / C</t>
  </si>
  <si>
    <t>17 / C</t>
  </si>
  <si>
    <t>12 / A</t>
  </si>
  <si>
    <t>25/Low-7</t>
  </si>
  <si>
    <t>25/Fair-13</t>
  </si>
  <si>
    <t>25/Avg-19</t>
  </si>
  <si>
    <t>25/Good-15</t>
  </si>
  <si>
    <t>25/VG-13</t>
  </si>
  <si>
    <t>25/Exc-9</t>
  </si>
  <si>
    <t>37/Spec-4</t>
  </si>
  <si>
    <t>36/Spec-3</t>
  </si>
  <si>
    <t>67 / C</t>
  </si>
  <si>
    <t>22-23</t>
  </si>
  <si>
    <t>40/Low-10</t>
  </si>
  <si>
    <t>40/Fair-20</t>
  </si>
  <si>
    <t>40/Avg-28</t>
  </si>
  <si>
    <t>40/Good-24</t>
  </si>
  <si>
    <t>40/VG-22</t>
  </si>
  <si>
    <t>40/Exc-16</t>
  </si>
  <si>
    <t>Section 13 Page 41</t>
  </si>
  <si>
    <t>Story Height Multipliers</t>
  </si>
  <si>
    <t>Multiply the base cost by the following multipliers for any variation in avereage story height from the base of 12 feet.</t>
  </si>
  <si>
    <t>Avg Wall Height (Ft)</t>
  </si>
  <si>
    <t>base</t>
  </si>
  <si>
    <t>Site Preparation Multipliers</t>
  </si>
  <si>
    <t>The costs given below are average costs including contractors' profit and overhead but not architects' fees.</t>
  </si>
  <si>
    <t>Name</t>
  </si>
  <si>
    <t>Rate</t>
  </si>
  <si>
    <t>Low cost</t>
  </si>
  <si>
    <t>Average</t>
  </si>
  <si>
    <t>Good</t>
  </si>
  <si>
    <t>Excellent</t>
  </si>
  <si>
    <t>Section 41 Page 1</t>
  </si>
  <si>
    <t>Fill / Excavation 1 (per sq ft)</t>
  </si>
  <si>
    <t>Fill / Excavation 2 (per sq ft)</t>
  </si>
  <si>
    <t>Fill / Excavation 3 (per sq ft)</t>
  </si>
  <si>
    <t>Fill / Excavation 4 (per sq ft)</t>
  </si>
  <si>
    <t>MiniSplit AVG QUAL</t>
  </si>
  <si>
    <t>MiniSplit GD QUAL</t>
  </si>
  <si>
    <t>MINI1</t>
  </si>
  <si>
    <t>MINI2</t>
  </si>
  <si>
    <t>ex</t>
  </si>
  <si>
    <t>gd</t>
  </si>
  <si>
    <t>av</t>
  </si>
  <si>
    <t>Section 12 Page 10, Interior Build-Out</t>
  </si>
  <si>
    <t>Interior Build-Out Cost</t>
  </si>
  <si>
    <t>Cheap-Minimum Finish, very plain</t>
  </si>
  <si>
    <t>Low Cost-Painted walls, carpet, vinyl composition tile, budget rooms</t>
  </si>
  <si>
    <t>Fair-Drywall, carpet, vinyl composition, minimum suites</t>
  </si>
  <si>
    <t>Avg-Painted block, drywall or plaster, few extras, carpet, vinyl composition</t>
  </si>
  <si>
    <t>Good-Plaster/drywall and paint, good carpet, some built-in extras</t>
  </si>
  <si>
    <t>Exc-Plaster &amp; vinyl finishes, good carpet, built-in luxury items</t>
  </si>
  <si>
    <t>Section 17 Page 30 &amp; 60</t>
  </si>
  <si>
    <t>GOOD QUAL BARNDO, lap siding, windows, good frame, Good-Plaster/drywall and paint, good carpet, some built-in extras</t>
  </si>
  <si>
    <t>EXC QUAL BARNDO, lap siding, windows, good frame, Exc-Plaster &amp; vinyl finishes, good carpet, built-in luxury items</t>
  </si>
  <si>
    <t>AVG QUAL BARNDO, wood frame, board and batten or low-cost siding, few windows, Avg-Painted block, drywall or plaster, few extras, carpet, vinyl composition</t>
  </si>
  <si>
    <t>LOW QUAL BARNDO, light wood, gable roof, board siding, Low Cost-Painted walls, carpet, vinyl composition tile, budget rooms</t>
  </si>
  <si>
    <t>S class</t>
  </si>
  <si>
    <t>LOW QUAL BARNDO, steel siding and frame, light roof, Low Cost-Painted walls, carpet, vinyl composition tile, budget rooms</t>
  </si>
  <si>
    <t>AVG QUAL BARNDO, steel siding and frame, few windows or shutters, "flat roofed", Avg-Painted block, drywall or plaster, few extras, carpet, vinyl composition</t>
  </si>
  <si>
    <t>GOOD QUAL BARNDO, steel panels on steel frame, insulated, good gable roof and trim, Good-Plaster/drywall and paint, good carpet, some built-in extras</t>
  </si>
  <si>
    <t>EXC QUAL BARNDO, steel panels on steel frame, insulated, good gable roof and trim, Exc-Plaster &amp; vinyl finishes, good carpet, built-in luxury items</t>
  </si>
  <si>
    <t>EACH</t>
  </si>
  <si>
    <t>DELETE s66p6</t>
  </si>
  <si>
    <t>BND3S</t>
  </si>
  <si>
    <t>BND4S</t>
  </si>
  <si>
    <t>BND5S</t>
  </si>
  <si>
    <t>BND6S</t>
  </si>
  <si>
    <t>BND3F</t>
  </si>
  <si>
    <t>BND4F</t>
  </si>
  <si>
    <t>BND5F</t>
  </si>
  <si>
    <t>BDN6F</t>
  </si>
  <si>
    <t>F class</t>
  </si>
  <si>
    <t>I</t>
  </si>
  <si>
    <t>INCLUDED IN SQ.FT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</si>
</sst>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#,##0.000"/>
  </numFmts>
  <fonts count="16" x14ac:knownFonts="1">
    <font>
      <sz val="10"/>
      <name val="Arial"/>
    </font>
    <font>
      <sz val="10"/>
      <name val="Arial"/>
      <family val="2"/>
    </font>
    <font>
      <sz val="48"/>
      <name val="Arial"/>
      <family val="2"/>
    </font>
    <font>
      <sz val="72"/>
      <name val="Arial"/>
      <family val="2"/>
    </font>
    <font>
      <sz val="14"/>
      <name val="Arial"/>
      <family val="2"/>
    </font>
    <font>
      <sz val="2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16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/>
    <xf numFmtId="164" fontId="12" fillId="0" borderId="1" xfId="0" applyNumberFormat="1" applyFont="1" applyBorder="1"/>
    <xf numFmtId="164" fontId="11" fillId="0" borderId="0" xfId="0" applyNumberFormat="1" applyFont="1"/>
    <xf numFmtId="0" fontId="14" fillId="2" borderId="1" xfId="0" applyFont="1" applyFill="1" applyBorder="1"/>
    <xf numFmtId="164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10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0" fontId="0" fillId="3" borderId="0" xfId="0" applyFill="1"/>
    <xf numFmtId="165" fontId="0" fillId="3" borderId="0" xfId="0" applyNumberFormat="1" applyFill="1"/>
    <xf numFmtId="164" fontId="14" fillId="2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0" fontId="1" fillId="4" borderId="0" xfId="0" applyNumberFormat="1" applyFont="1" applyFill="1"/>
    <xf numFmtId="0" fontId="1" fillId="4" borderId="0" xfId="0" applyFont="1" applyFill="1"/>
    <xf numFmtId="10" fontId="7" fillId="4" borderId="1" xfId="0" applyNumberFormat="1" applyFont="1" applyFill="1" applyBorder="1" applyAlignment="1">
      <alignment horizontal="center"/>
    </xf>
    <xf numFmtId="10" fontId="4" fillId="4" borderId="0" xfId="0" applyNumberFormat="1" applyFont="1" applyFill="1"/>
    <xf numFmtId="0" fontId="4" fillId="4" borderId="0" xfId="0" applyFont="1" applyFill="1"/>
    <xf numFmtId="0" fontId="4" fillId="4" borderId="2" xfId="0" applyFont="1" applyFill="1" applyBorder="1"/>
    <xf numFmtId="0" fontId="1" fillId="4" borderId="2" xfId="0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4" borderId="0" xfId="0" applyNumberFormat="1" applyFont="1" applyFill="1" applyAlignment="1">
      <alignment horizontal="left" vertical="center"/>
    </xf>
    <xf numFmtId="2" fontId="1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8" fillId="4" borderId="0" xfId="0" applyNumberFormat="1" applyFont="1" applyFill="1" applyAlignment="1">
      <alignment horizontal="center" vertical="center"/>
    </xf>
    <xf numFmtId="10" fontId="8" fillId="4" borderId="0" xfId="0" applyNumberFormat="1" applyFont="1" applyFill="1"/>
    <xf numFmtId="2" fontId="1" fillId="4" borderId="0" xfId="0" applyNumberFormat="1" applyFont="1" applyFill="1" applyAlignment="1">
      <alignment horizontal="left"/>
    </xf>
    <xf numFmtId="2" fontId="8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/>
    <xf numFmtId="8" fontId="13" fillId="4" borderId="1" xfId="0" applyNumberFormat="1" applyFont="1" applyFill="1" applyBorder="1"/>
    <xf numFmtId="10" fontId="13" fillId="4" borderId="1" xfId="0" applyNumberFormat="1" applyFont="1" applyFill="1" applyBorder="1"/>
    <xf numFmtId="3" fontId="1" fillId="4" borderId="1" xfId="0" applyNumberFormat="1" applyFont="1" applyFill="1" applyBorder="1"/>
    <xf numFmtId="8" fontId="8" fillId="4" borderId="1" xfId="0" applyNumberFormat="1" applyFont="1" applyFill="1" applyBorder="1"/>
    <xf numFmtId="10" fontId="1" fillId="4" borderId="1" xfId="0" applyNumberFormat="1" applyFont="1" applyFill="1" applyBorder="1"/>
    <xf numFmtId="2" fontId="1" fillId="4" borderId="0" xfId="0" applyNumberFormat="1" applyFont="1" applyFill="1"/>
    <xf numFmtId="40" fontId="1" fillId="4" borderId="1" xfId="0" applyNumberFormat="1" applyFont="1" applyFill="1" applyBorder="1" applyAlignment="1">
      <alignment horizontal="center"/>
    </xf>
    <xf numFmtId="3" fontId="1" fillId="4" borderId="0" xfId="0" applyNumberFormat="1" applyFont="1" applyFill="1"/>
    <xf numFmtId="8" fontId="8" fillId="4" borderId="0" xfId="0" applyNumberFormat="1" applyFont="1" applyFill="1"/>
    <xf numFmtId="3" fontId="13" fillId="4" borderId="1" xfId="0" applyNumberFormat="1" applyFont="1" applyFill="1" applyBorder="1" applyAlignment="1">
      <alignment horizontal="center"/>
    </xf>
    <xf numFmtId="8" fontId="1" fillId="4" borderId="0" xfId="0" applyNumberFormat="1" applyFont="1" applyFill="1"/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8" fillId="4" borderId="0" xfId="0" applyFont="1" applyFill="1"/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/>
    <xf numFmtId="8" fontId="8" fillId="4" borderId="3" xfId="0" applyNumberFormat="1" applyFont="1" applyFill="1" applyBorder="1"/>
    <xf numFmtId="10" fontId="1" fillId="4" borderId="3" xfId="0" applyNumberFormat="1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/>
    <xf numFmtId="3" fontId="1" fillId="4" borderId="7" xfId="0" applyNumberFormat="1" applyFont="1" applyFill="1" applyBorder="1"/>
    <xf numFmtId="8" fontId="8" fillId="4" borderId="7" xfId="0" applyNumberFormat="1" applyFont="1" applyFill="1" applyBorder="1"/>
    <xf numFmtId="10" fontId="1" fillId="4" borderId="7" xfId="0" applyNumberFormat="1" applyFont="1" applyFill="1" applyBorder="1"/>
    <xf numFmtId="0" fontId="1" fillId="4" borderId="7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8" fillId="4" borderId="1" xfId="0" applyFont="1" applyFill="1" applyBorder="1"/>
    <xf numFmtId="3" fontId="8" fillId="4" borderId="1" xfId="0" applyNumberFormat="1" applyFont="1" applyFill="1" applyBorder="1" applyAlignment="1">
      <alignment horizontal="center"/>
    </xf>
    <xf numFmtId="10" fontId="8" fillId="4" borderId="1" xfId="0" applyNumberFormat="1" applyFont="1" applyFill="1" applyBorder="1"/>
    <xf numFmtId="8" fontId="11" fillId="4" borderId="0" xfId="0" applyNumberFormat="1" applyFont="1" applyFill="1"/>
    <xf numFmtId="0" fontId="1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10" fontId="7" fillId="4" borderId="6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left"/>
    </xf>
    <xf numFmtId="2" fontId="8" fillId="4" borderId="5" xfId="0" applyNumberFormat="1" applyFont="1" applyFill="1" applyBorder="1" applyAlignment="1">
      <alignment horizontal="left"/>
    </xf>
    <xf numFmtId="2" fontId="8" fillId="4" borderId="6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E00A-DE42-42D4-A631-DE76040BD03F}">
  <dimension ref="A1:A5"/>
  <sheetViews>
    <sheetView tabSelected="1" zoomScale="59" zoomScaleNormal="59" workbookViewId="0"/>
  </sheetViews>
  <sheetFormatPr defaultRowHeight="12.75" x14ac:dyDescent="0.2"/>
  <cols>
    <col min="1" max="1" width="92.85546875" customWidth="1"/>
  </cols>
  <sheetData>
    <row r="1" spans="1:1" s="2" customFormat="1" ht="137.25" customHeight="1" x14ac:dyDescent="0.75">
      <c r="A1" s="2" t="s">
        <v>338</v>
      </c>
    </row>
    <row r="2" spans="1:1" s="3" customFormat="1" ht="137.25" customHeight="1" x14ac:dyDescent="1.1499999999999999">
      <c r="A2" s="3" t="s">
        <v>237</v>
      </c>
    </row>
    <row r="3" spans="1:1" s="3" customFormat="1" ht="137.25" customHeight="1" x14ac:dyDescent="1.1499999999999999"/>
    <row r="4" spans="1:1" s="3" customFormat="1" ht="137.25" customHeight="1" x14ac:dyDescent="1.1499999999999999">
      <c r="A4" s="3" t="s">
        <v>238</v>
      </c>
    </row>
    <row r="5" spans="1:1" ht="137.25" customHeight="1" x14ac:dyDescent="0.2"/>
  </sheetData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449C-FBEA-49AF-8737-4EC7A017851D}">
  <dimension ref="A1:U612"/>
  <sheetViews>
    <sheetView zoomScaleNormal="100" workbookViewId="0">
      <selection activeCell="X18" sqref="X18"/>
    </sheetView>
  </sheetViews>
  <sheetFormatPr defaultColWidth="9" defaultRowHeight="18" x14ac:dyDescent="0.25"/>
  <cols>
    <col min="1" max="1" width="8.42578125" style="25" customWidth="1"/>
    <col min="2" max="2" width="10.42578125" style="25" customWidth="1"/>
    <col min="3" max="3" width="7.7109375" style="25" customWidth="1"/>
    <col min="4" max="4" width="8.140625" style="30" bestFit="1" customWidth="1"/>
    <col min="5" max="5" width="8.85546875" style="30" customWidth="1"/>
    <col min="6" max="6" width="7" style="30" bestFit="1" customWidth="1"/>
    <col min="7" max="7" width="9.5703125" style="30" customWidth="1"/>
    <col min="8" max="8" width="9.42578125" style="93" bestFit="1" customWidth="1"/>
    <col min="9" max="9" width="7.42578125" style="29" bestFit="1" customWidth="1"/>
    <col min="10" max="10" width="8.5703125" style="29" bestFit="1" customWidth="1"/>
    <col min="11" max="11" width="12.7109375" style="29" customWidth="1"/>
    <col min="12" max="12" width="11.28515625" style="29" customWidth="1"/>
    <col min="13" max="13" width="8.7109375" style="29" customWidth="1"/>
    <col min="14" max="14" width="6.85546875" style="29" customWidth="1"/>
    <col min="15" max="15" width="14.85546875" style="26" hidden="1" customWidth="1"/>
    <col min="16" max="17" width="10.28515625" style="29" hidden="1" customWidth="1"/>
    <col min="18" max="18" width="9.7109375" style="30" hidden="1" customWidth="1"/>
    <col min="19" max="20" width="9.140625" style="27" hidden="1" customWidth="1"/>
    <col min="21" max="21" width="0" style="27" hidden="1" customWidth="1"/>
    <col min="22" max="16384" width="9" style="27"/>
  </cols>
  <sheetData>
    <row r="1" spans="1:21" x14ac:dyDescent="0.25">
      <c r="C1" s="113" t="s">
        <v>387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26" t="s">
        <v>458</v>
      </c>
      <c r="P1" s="26" t="s">
        <v>458</v>
      </c>
      <c r="Q1" s="26" t="s">
        <v>458</v>
      </c>
      <c r="R1" s="26" t="s">
        <v>458</v>
      </c>
      <c r="S1" s="26" t="s">
        <v>458</v>
      </c>
      <c r="T1" s="26" t="s">
        <v>458</v>
      </c>
      <c r="U1" s="26" t="s">
        <v>458</v>
      </c>
    </row>
    <row r="2" spans="1:21" x14ac:dyDescent="0.25">
      <c r="C2" s="116" t="s">
        <v>372</v>
      </c>
      <c r="D2" s="117"/>
      <c r="E2" s="117"/>
      <c r="F2" s="117"/>
      <c r="G2" s="117"/>
      <c r="H2" s="117"/>
      <c r="I2" s="117"/>
      <c r="J2" s="118"/>
      <c r="K2" s="28" t="s">
        <v>377</v>
      </c>
      <c r="L2" s="121" t="s">
        <v>378</v>
      </c>
      <c r="M2" s="122"/>
      <c r="N2" s="123"/>
      <c r="O2" s="26" t="s">
        <v>445</v>
      </c>
    </row>
    <row r="3" spans="1:21" ht="36.75" x14ac:dyDescent="0.25">
      <c r="A3" s="31"/>
      <c r="B3" s="32" t="s">
        <v>368</v>
      </c>
      <c r="C3" s="119" t="s">
        <v>373</v>
      </c>
      <c r="D3" s="120"/>
      <c r="E3" s="33" t="s">
        <v>401</v>
      </c>
      <c r="F3" s="33" t="s">
        <v>402</v>
      </c>
      <c r="G3" s="33" t="s">
        <v>404</v>
      </c>
      <c r="H3" s="33" t="s">
        <v>406</v>
      </c>
      <c r="I3" s="34" t="s">
        <v>376</v>
      </c>
      <c r="J3" s="34" t="s">
        <v>376</v>
      </c>
      <c r="K3" s="34" t="s">
        <v>379</v>
      </c>
      <c r="L3" s="35" t="s">
        <v>380</v>
      </c>
      <c r="M3" s="33" t="s">
        <v>381</v>
      </c>
      <c r="N3" s="34" t="s">
        <v>382</v>
      </c>
      <c r="O3" s="26" t="s">
        <v>446</v>
      </c>
      <c r="P3" s="27"/>
    </row>
    <row r="4" spans="1:21" ht="26.25" x14ac:dyDescent="0.25">
      <c r="A4" s="36"/>
      <c r="B4" s="37" t="s">
        <v>369</v>
      </c>
      <c r="C4" s="38" t="s">
        <v>375</v>
      </c>
      <c r="D4" s="38" t="s">
        <v>374</v>
      </c>
      <c r="E4" s="39" t="s">
        <v>400</v>
      </c>
      <c r="F4" s="39" t="s">
        <v>403</v>
      </c>
      <c r="G4" s="39" t="s">
        <v>405</v>
      </c>
      <c r="H4" s="39" t="s">
        <v>407</v>
      </c>
      <c r="I4" s="39" t="s">
        <v>408</v>
      </c>
      <c r="J4" s="39" t="s">
        <v>385</v>
      </c>
      <c r="K4" s="40" t="s">
        <v>386</v>
      </c>
      <c r="L4" s="40" t="s">
        <v>384</v>
      </c>
      <c r="M4" s="40" t="s">
        <v>383</v>
      </c>
      <c r="N4" s="39" t="s">
        <v>399</v>
      </c>
      <c r="P4" s="27"/>
    </row>
    <row r="5" spans="1:21" x14ac:dyDescent="0.25">
      <c r="A5" s="41" t="s">
        <v>370</v>
      </c>
      <c r="B5" s="42">
        <v>0.89</v>
      </c>
      <c r="C5" s="42">
        <v>1.02</v>
      </c>
      <c r="D5" s="42">
        <v>1.02</v>
      </c>
      <c r="E5" s="43">
        <v>1.02</v>
      </c>
      <c r="F5" s="43">
        <v>1.02</v>
      </c>
      <c r="G5" s="43">
        <v>1.02</v>
      </c>
      <c r="H5" s="43">
        <v>1.02</v>
      </c>
      <c r="I5" s="43">
        <v>1.01</v>
      </c>
      <c r="J5" s="43">
        <v>1.01</v>
      </c>
      <c r="K5" s="43">
        <v>1.02</v>
      </c>
      <c r="L5" s="111">
        <v>1</v>
      </c>
      <c r="M5" s="111">
        <v>0.97</v>
      </c>
      <c r="N5" s="111">
        <v>1</v>
      </c>
      <c r="P5" s="27"/>
    </row>
    <row r="6" spans="1:21" x14ac:dyDescent="0.25">
      <c r="A6" s="41" t="s">
        <v>371</v>
      </c>
      <c r="B6" s="42">
        <v>0.89</v>
      </c>
      <c r="C6" s="42">
        <v>1.01</v>
      </c>
      <c r="D6" s="42">
        <v>1.01</v>
      </c>
      <c r="E6" s="43" t="s">
        <v>388</v>
      </c>
      <c r="F6" s="43">
        <v>1.01</v>
      </c>
      <c r="G6" s="43">
        <v>1.01</v>
      </c>
      <c r="H6" s="43">
        <v>1.01</v>
      </c>
      <c r="I6" s="43">
        <v>1.02</v>
      </c>
      <c r="J6" s="43">
        <v>1.01</v>
      </c>
      <c r="K6" s="43">
        <v>1.01</v>
      </c>
      <c r="L6" s="112"/>
      <c r="M6" s="112"/>
      <c r="N6" s="112"/>
      <c r="P6" s="27"/>
    </row>
    <row r="7" spans="1:21" hidden="1" x14ac:dyDescent="0.25">
      <c r="A7" s="27" t="s">
        <v>458</v>
      </c>
      <c r="C7" s="44" t="s">
        <v>448</v>
      </c>
      <c r="D7" s="44" t="s">
        <v>448</v>
      </c>
      <c r="E7" s="44" t="s">
        <v>449</v>
      </c>
      <c r="F7" s="44" t="s">
        <v>448</v>
      </c>
      <c r="G7" s="44" t="s">
        <v>448</v>
      </c>
      <c r="H7" s="44" t="s">
        <v>448</v>
      </c>
      <c r="I7" s="45"/>
      <c r="J7" s="45"/>
      <c r="K7" s="44" t="s">
        <v>450</v>
      </c>
      <c r="L7" s="44" t="s">
        <v>451</v>
      </c>
      <c r="M7" s="44" t="s">
        <v>447</v>
      </c>
      <c r="N7" s="44" t="s">
        <v>452</v>
      </c>
    </row>
    <row r="8" spans="1:21" x14ac:dyDescent="0.25">
      <c r="A8" s="27"/>
      <c r="D8" s="25"/>
      <c r="E8" s="45"/>
      <c r="F8" s="45"/>
      <c r="G8" s="45"/>
      <c r="H8" s="46"/>
      <c r="I8" s="45"/>
      <c r="J8" s="45"/>
      <c r="K8" s="45"/>
      <c r="L8" s="47"/>
      <c r="M8" s="47"/>
      <c r="N8" s="47"/>
    </row>
    <row r="9" spans="1:21" x14ac:dyDescent="0.25">
      <c r="A9" s="124" t="s">
        <v>409</v>
      </c>
      <c r="B9" s="124"/>
      <c r="C9" s="124"/>
      <c r="D9" s="124"/>
      <c r="E9" s="96" t="s">
        <v>434</v>
      </c>
      <c r="F9" s="96"/>
      <c r="G9" s="96"/>
      <c r="H9" s="96"/>
      <c r="I9" s="96"/>
      <c r="J9" s="96"/>
      <c r="K9" s="96"/>
      <c r="L9" s="96"/>
      <c r="M9" s="47"/>
      <c r="N9" s="47"/>
    </row>
    <row r="10" spans="1:21" x14ac:dyDescent="0.25">
      <c r="A10" s="48" t="s">
        <v>389</v>
      </c>
      <c r="B10" s="48" t="s">
        <v>390</v>
      </c>
      <c r="C10" s="48" t="s">
        <v>391</v>
      </c>
      <c r="D10" s="48" t="s">
        <v>410</v>
      </c>
      <c r="E10" s="125" t="s">
        <v>435</v>
      </c>
      <c r="F10" s="126"/>
      <c r="G10" s="126"/>
      <c r="H10" s="126"/>
      <c r="I10" s="126"/>
      <c r="J10" s="126"/>
      <c r="K10" s="126"/>
      <c r="L10" s="127"/>
      <c r="M10" s="47"/>
      <c r="N10" s="47"/>
      <c r="O10" s="26" t="s">
        <v>453</v>
      </c>
      <c r="P10" s="26" t="s">
        <v>454</v>
      </c>
    </row>
    <row r="11" spans="1:21" x14ac:dyDescent="0.25">
      <c r="A11" s="42"/>
      <c r="B11" s="49"/>
      <c r="C11" s="43">
        <f>+O11*$S$11</f>
        <v>0</v>
      </c>
      <c r="D11" s="42" t="s">
        <v>411</v>
      </c>
      <c r="E11" s="96" t="s">
        <v>423</v>
      </c>
      <c r="F11" s="96"/>
      <c r="G11" s="96"/>
      <c r="H11" s="96"/>
      <c r="I11" s="96"/>
      <c r="J11" s="96"/>
      <c r="K11" s="96"/>
      <c r="L11" s="96"/>
      <c r="O11" s="47">
        <v>7.02</v>
      </c>
      <c r="P11" s="47">
        <f>+O11-O12+P12</f>
        <v>9.4776062992125958</v>
      </c>
      <c r="Q11" s="26">
        <f>+O11/O16</f>
        <v>0.73430962343096229</v>
      </c>
      <c r="R11" s="42" t="s">
        <v>411</v>
      </c>
      <c r="S11" s="27">
        <v>0</v>
      </c>
    </row>
    <row r="12" spans="1:21" x14ac:dyDescent="0.25">
      <c r="A12" s="42" t="s">
        <v>393</v>
      </c>
      <c r="B12" s="42" t="s">
        <v>429</v>
      </c>
      <c r="C12" s="43">
        <f t="shared" ref="C12:C22" si="0">+O12*$S$11</f>
        <v>0</v>
      </c>
      <c r="D12" s="42" t="s">
        <v>417</v>
      </c>
      <c r="E12" s="96"/>
      <c r="F12" s="96"/>
      <c r="G12" s="96"/>
      <c r="H12" s="96"/>
      <c r="I12" s="96"/>
      <c r="J12" s="96"/>
      <c r="K12" s="96"/>
      <c r="L12" s="96"/>
      <c r="O12" s="47">
        <f>+O16*Q12</f>
        <v>7.4823937007874024</v>
      </c>
      <c r="P12" s="50">
        <v>9.94</v>
      </c>
      <c r="Q12" s="51">
        <f>+P12/P16</f>
        <v>0.78267716535433074</v>
      </c>
      <c r="R12" s="42" t="s">
        <v>417</v>
      </c>
    </row>
    <row r="13" spans="1:21" x14ac:dyDescent="0.25">
      <c r="A13" s="42"/>
      <c r="B13" s="49"/>
      <c r="C13" s="43">
        <f t="shared" si="0"/>
        <v>0</v>
      </c>
      <c r="D13" s="42" t="s">
        <v>414</v>
      </c>
      <c r="E13" s="96" t="s">
        <v>424</v>
      </c>
      <c r="F13" s="96"/>
      <c r="G13" s="96"/>
      <c r="H13" s="96"/>
      <c r="I13" s="96"/>
      <c r="J13" s="96"/>
      <c r="K13" s="96"/>
      <c r="L13" s="96"/>
      <c r="O13" s="47">
        <f>AVERAGE(O14,O12)</f>
        <v>7.9754488188976396</v>
      </c>
      <c r="P13" s="47">
        <f>+O13-O14+P14</f>
        <v>10.756944881889764</v>
      </c>
      <c r="Q13" s="26">
        <f>+P13/P16</f>
        <v>0.84700353400706807</v>
      </c>
      <c r="R13" s="42" t="s">
        <v>414</v>
      </c>
    </row>
    <row r="14" spans="1:21" x14ac:dyDescent="0.25">
      <c r="A14" s="42" t="s">
        <v>393</v>
      </c>
      <c r="B14" s="42" t="s">
        <v>430</v>
      </c>
      <c r="C14" s="43">
        <f t="shared" si="0"/>
        <v>0</v>
      </c>
      <c r="D14" s="42" t="s">
        <v>416</v>
      </c>
      <c r="E14" s="96"/>
      <c r="F14" s="96"/>
      <c r="G14" s="96"/>
      <c r="H14" s="96"/>
      <c r="I14" s="96"/>
      <c r="J14" s="96"/>
      <c r="K14" s="96"/>
      <c r="L14" s="96"/>
      <c r="O14" s="47">
        <f>+O16*Q14</f>
        <v>8.4685039370078758</v>
      </c>
      <c r="P14" s="50">
        <v>11.25</v>
      </c>
      <c r="Q14" s="51">
        <f>+P14/P16</f>
        <v>0.8858267716535434</v>
      </c>
      <c r="R14" s="42" t="s">
        <v>416</v>
      </c>
    </row>
    <row r="15" spans="1:21" x14ac:dyDescent="0.25">
      <c r="A15" s="42"/>
      <c r="B15" s="49"/>
      <c r="C15" s="43">
        <f t="shared" si="0"/>
        <v>0</v>
      </c>
      <c r="D15" s="42" t="s">
        <v>415</v>
      </c>
      <c r="E15" s="96" t="s">
        <v>425</v>
      </c>
      <c r="F15" s="96"/>
      <c r="G15" s="96"/>
      <c r="H15" s="96"/>
      <c r="I15" s="96"/>
      <c r="J15" s="96"/>
      <c r="K15" s="96"/>
      <c r="L15" s="96"/>
      <c r="O15" s="47">
        <f>AVERAGE(O16,O14)</f>
        <v>9.0142519685039382</v>
      </c>
      <c r="P15" s="47">
        <f>+O15-O16+P16</f>
        <v>12.154251968503937</v>
      </c>
      <c r="Q15" s="26">
        <f>+P15/P16</f>
        <v>0.95702771405542819</v>
      </c>
      <c r="R15" s="42" t="s">
        <v>415</v>
      </c>
    </row>
    <row r="16" spans="1:21" x14ac:dyDescent="0.25">
      <c r="A16" s="42" t="s">
        <v>393</v>
      </c>
      <c r="B16" s="42" t="s">
        <v>431</v>
      </c>
      <c r="C16" s="43">
        <f t="shared" si="0"/>
        <v>0</v>
      </c>
      <c r="D16" s="42" t="s">
        <v>418</v>
      </c>
      <c r="E16" s="96"/>
      <c r="F16" s="96"/>
      <c r="G16" s="96"/>
      <c r="H16" s="96"/>
      <c r="I16" s="96"/>
      <c r="J16" s="96"/>
      <c r="K16" s="96"/>
      <c r="L16" s="96"/>
      <c r="O16" s="50">
        <v>9.56</v>
      </c>
      <c r="P16" s="50">
        <v>12.7</v>
      </c>
      <c r="Q16" s="51">
        <f>+P16/P16</f>
        <v>1</v>
      </c>
      <c r="R16" s="42" t="s">
        <v>418</v>
      </c>
    </row>
    <row r="17" spans="1:18" x14ac:dyDescent="0.25">
      <c r="A17" s="42"/>
      <c r="B17" s="49"/>
      <c r="C17" s="43">
        <f t="shared" si="0"/>
        <v>0</v>
      </c>
      <c r="D17" s="42" t="s">
        <v>419</v>
      </c>
      <c r="E17" s="96" t="s">
        <v>426</v>
      </c>
      <c r="F17" s="96"/>
      <c r="G17" s="96"/>
      <c r="H17" s="96"/>
      <c r="I17" s="96"/>
      <c r="J17" s="96"/>
      <c r="K17" s="96"/>
      <c r="L17" s="96"/>
      <c r="O17" s="47">
        <f>AVERAGE(O18,O16)</f>
        <v>10.124566929133859</v>
      </c>
      <c r="P17" s="47">
        <f>+O17-O18+P18</f>
        <v>13.635433070866142</v>
      </c>
      <c r="Q17" s="26">
        <f>+P17/P16</f>
        <v>1.0736561473122948</v>
      </c>
      <c r="R17" s="42" t="s">
        <v>419</v>
      </c>
    </row>
    <row r="18" spans="1:18" x14ac:dyDescent="0.25">
      <c r="A18" s="42" t="s">
        <v>393</v>
      </c>
      <c r="B18" s="42" t="s">
        <v>432</v>
      </c>
      <c r="C18" s="43">
        <f t="shared" si="0"/>
        <v>0</v>
      </c>
      <c r="D18" s="42" t="s">
        <v>420</v>
      </c>
      <c r="E18" s="96"/>
      <c r="F18" s="96"/>
      <c r="G18" s="96"/>
      <c r="H18" s="96"/>
      <c r="I18" s="96"/>
      <c r="J18" s="96"/>
      <c r="K18" s="96"/>
      <c r="L18" s="96"/>
      <c r="O18" s="47">
        <f>+O16*Q18</f>
        <v>10.689133858267716</v>
      </c>
      <c r="P18" s="50">
        <v>14.2</v>
      </c>
      <c r="Q18" s="51">
        <f>+P18/P16</f>
        <v>1.1181102362204725</v>
      </c>
      <c r="R18" s="42" t="s">
        <v>420</v>
      </c>
    </row>
    <row r="19" spans="1:18" x14ac:dyDescent="0.25">
      <c r="A19" s="42"/>
      <c r="B19" s="49"/>
      <c r="C19" s="43">
        <f t="shared" si="0"/>
        <v>0</v>
      </c>
      <c r="D19" s="42" t="s">
        <v>421</v>
      </c>
      <c r="E19" s="96" t="s">
        <v>427</v>
      </c>
      <c r="F19" s="96"/>
      <c r="G19" s="96"/>
      <c r="H19" s="96"/>
      <c r="I19" s="96"/>
      <c r="J19" s="96"/>
      <c r="K19" s="96"/>
      <c r="L19" s="96"/>
      <c r="O19" s="47">
        <f>AVERAGE(O20,O18)</f>
        <v>11.385433070866142</v>
      </c>
      <c r="P19" s="47">
        <f>+O19-O20+P20</f>
        <v>15.353700787401573</v>
      </c>
      <c r="Q19" s="26">
        <f>+P19/P16</f>
        <v>1.2089528179056357</v>
      </c>
      <c r="R19" s="42" t="s">
        <v>421</v>
      </c>
    </row>
    <row r="20" spans="1:18" x14ac:dyDescent="0.25">
      <c r="A20" s="42" t="s">
        <v>393</v>
      </c>
      <c r="B20" s="42" t="s">
        <v>433</v>
      </c>
      <c r="C20" s="43">
        <f t="shared" si="0"/>
        <v>0</v>
      </c>
      <c r="D20" s="42" t="s">
        <v>412</v>
      </c>
      <c r="E20" s="96"/>
      <c r="F20" s="96"/>
      <c r="G20" s="96"/>
      <c r="H20" s="96"/>
      <c r="I20" s="96"/>
      <c r="J20" s="96"/>
      <c r="K20" s="96"/>
      <c r="L20" s="96"/>
      <c r="O20" s="47">
        <f>+O16*Q20</f>
        <v>12.08173228346457</v>
      </c>
      <c r="P20" s="50">
        <v>16.05</v>
      </c>
      <c r="Q20" s="51">
        <f>+P20/P16</f>
        <v>1.2637795275590553</v>
      </c>
      <c r="R20" s="42" t="s">
        <v>412</v>
      </c>
    </row>
    <row r="21" spans="1:18" x14ac:dyDescent="0.25">
      <c r="A21" s="42"/>
      <c r="B21" s="49"/>
      <c r="C21" s="43">
        <f t="shared" si="0"/>
        <v>0</v>
      </c>
      <c r="D21" s="42" t="s">
        <v>422</v>
      </c>
      <c r="E21" s="96" t="s">
        <v>428</v>
      </c>
      <c r="F21" s="96"/>
      <c r="G21" s="96"/>
      <c r="H21" s="96"/>
      <c r="I21" s="96"/>
      <c r="J21" s="96"/>
      <c r="K21" s="96"/>
      <c r="L21" s="96"/>
      <c r="O21" s="47">
        <f>AVERAGE(O22,O20)</f>
        <v>12.928582677165355</v>
      </c>
      <c r="P21" s="47">
        <f>+O21-O22+P22</f>
        <v>17.453149606299213</v>
      </c>
      <c r="Q21" s="26">
        <f>+P21/P16</f>
        <v>1.3742637485274971</v>
      </c>
      <c r="R21" s="42" t="s">
        <v>422</v>
      </c>
    </row>
    <row r="22" spans="1:18" x14ac:dyDescent="0.25">
      <c r="A22" s="42" t="s">
        <v>393</v>
      </c>
      <c r="B22" s="42" t="s">
        <v>436</v>
      </c>
      <c r="C22" s="43">
        <f t="shared" si="0"/>
        <v>0</v>
      </c>
      <c r="D22" s="42" t="s">
        <v>413</v>
      </c>
      <c r="E22" s="96"/>
      <c r="F22" s="96"/>
      <c r="G22" s="96"/>
      <c r="H22" s="96"/>
      <c r="I22" s="96"/>
      <c r="J22" s="96"/>
      <c r="K22" s="96"/>
      <c r="L22" s="96"/>
      <c r="O22" s="47">
        <f>+O16*Q22</f>
        <v>13.775433070866143</v>
      </c>
      <c r="P22" s="50">
        <v>18.3</v>
      </c>
      <c r="Q22" s="51">
        <f>+P22/P16</f>
        <v>1.4409448818897639</v>
      </c>
      <c r="R22" s="42" t="s">
        <v>413</v>
      </c>
    </row>
    <row r="23" spans="1:18" x14ac:dyDescent="0.25">
      <c r="D23" s="25"/>
      <c r="E23" s="52"/>
      <c r="F23" s="52"/>
      <c r="G23" s="52"/>
      <c r="H23" s="53"/>
      <c r="I23" s="52"/>
      <c r="J23" s="52"/>
      <c r="K23" s="52"/>
      <c r="L23" s="52"/>
      <c r="M23" s="47"/>
      <c r="N23" s="47"/>
      <c r="O23" s="26" t="s">
        <v>455</v>
      </c>
      <c r="P23" s="26" t="s">
        <v>456</v>
      </c>
      <c r="Q23" s="26" t="s">
        <v>457</v>
      </c>
    </row>
    <row r="24" spans="1:18" x14ac:dyDescent="0.25">
      <c r="D24" s="25"/>
      <c r="E24" s="52"/>
      <c r="F24" s="52"/>
      <c r="G24" s="52"/>
      <c r="H24" s="53"/>
      <c r="I24" s="52"/>
      <c r="J24" s="52"/>
      <c r="K24" s="52"/>
      <c r="L24" s="52"/>
      <c r="M24" s="47"/>
      <c r="N24" s="47"/>
    </row>
    <row r="25" spans="1:18" x14ac:dyDescent="0.25">
      <c r="D25" s="25"/>
      <c r="E25" s="52"/>
      <c r="F25" s="52"/>
      <c r="G25" s="52"/>
      <c r="H25" s="53"/>
      <c r="I25" s="52"/>
      <c r="J25" s="52"/>
      <c r="K25" s="52"/>
      <c r="L25" s="52"/>
      <c r="M25" s="47"/>
      <c r="N25" s="47"/>
    </row>
    <row r="26" spans="1:18" x14ac:dyDescent="0.25">
      <c r="D26" s="25"/>
      <c r="E26" s="52"/>
      <c r="F26" s="52"/>
      <c r="G26" s="52"/>
      <c r="H26" s="53"/>
      <c r="I26" s="52"/>
      <c r="J26" s="52"/>
      <c r="K26" s="52"/>
      <c r="L26" s="52"/>
      <c r="M26" s="47"/>
      <c r="N26" s="47"/>
    </row>
    <row r="27" spans="1:18" x14ac:dyDescent="0.25">
      <c r="D27" s="25"/>
      <c r="E27" s="52"/>
      <c r="F27" s="52"/>
      <c r="G27" s="52"/>
      <c r="H27" s="53"/>
      <c r="I27" s="52"/>
      <c r="J27" s="52"/>
      <c r="K27" s="52"/>
      <c r="L27" s="52"/>
      <c r="M27" s="47"/>
      <c r="N27" s="47"/>
    </row>
    <row r="28" spans="1:18" x14ac:dyDescent="0.25">
      <c r="D28" s="25"/>
      <c r="E28" s="52"/>
      <c r="F28" s="52"/>
      <c r="G28" s="52"/>
      <c r="H28" s="53"/>
      <c r="I28" s="52"/>
      <c r="J28" s="52"/>
      <c r="K28" s="52"/>
      <c r="L28" s="52"/>
      <c r="M28" s="47"/>
      <c r="N28" s="47"/>
    </row>
    <row r="29" spans="1:18" x14ac:dyDescent="0.25">
      <c r="A29" s="25" t="s">
        <v>458</v>
      </c>
      <c r="B29" s="25">
        <v>2</v>
      </c>
      <c r="C29" s="54" t="s">
        <v>541</v>
      </c>
      <c r="D29" s="25"/>
      <c r="E29" s="52"/>
      <c r="F29" s="52"/>
      <c r="G29" s="52"/>
      <c r="H29" s="53"/>
      <c r="I29" s="52"/>
      <c r="J29" s="52"/>
      <c r="K29" s="52"/>
      <c r="L29" s="52"/>
      <c r="M29" s="47"/>
      <c r="N29" s="47"/>
    </row>
    <row r="31" spans="1:18" ht="16.350000000000001" customHeight="1" x14ac:dyDescent="0.2">
      <c r="A31" s="55" t="s">
        <v>389</v>
      </c>
      <c r="B31" s="55" t="s">
        <v>390</v>
      </c>
      <c r="C31" s="55" t="s">
        <v>391</v>
      </c>
      <c r="D31" s="56" t="s">
        <v>2</v>
      </c>
      <c r="E31" s="55" t="s">
        <v>334</v>
      </c>
      <c r="F31" s="55" t="s">
        <v>333</v>
      </c>
      <c r="G31" s="55" t="s">
        <v>333</v>
      </c>
      <c r="H31" s="57" t="s">
        <v>335</v>
      </c>
      <c r="I31" s="58" t="s">
        <v>336</v>
      </c>
      <c r="J31" s="95" t="s">
        <v>0</v>
      </c>
      <c r="K31" s="95"/>
      <c r="L31" s="95"/>
      <c r="M31" s="95"/>
      <c r="N31" s="27"/>
      <c r="O31" s="27"/>
      <c r="P31" s="27"/>
      <c r="Q31" s="27"/>
      <c r="R31" s="27"/>
    </row>
    <row r="32" spans="1:18" ht="16.350000000000001" customHeight="1" x14ac:dyDescent="0.2">
      <c r="A32" s="42" t="s">
        <v>542</v>
      </c>
      <c r="B32" s="42">
        <v>2</v>
      </c>
      <c r="C32" s="42">
        <f>+O33+O34</f>
        <v>4.82</v>
      </c>
      <c r="D32" s="41" t="s">
        <v>325</v>
      </c>
      <c r="E32" s="41"/>
      <c r="F32" s="59">
        <v>0</v>
      </c>
      <c r="G32" s="59">
        <v>750</v>
      </c>
      <c r="H32" s="60">
        <f>+C32*$B$6*$L$5</f>
        <v>4.2898000000000005</v>
      </c>
      <c r="I32" s="61">
        <v>0</v>
      </c>
      <c r="J32" s="94" t="s">
        <v>361</v>
      </c>
      <c r="K32" s="94"/>
      <c r="L32" s="94"/>
      <c r="M32" s="94"/>
      <c r="N32" s="27"/>
      <c r="O32" s="62" t="s">
        <v>459</v>
      </c>
      <c r="P32" s="27"/>
      <c r="Q32" s="27"/>
      <c r="R32" s="27"/>
    </row>
    <row r="33" spans="1:16" s="27" customFormat="1" ht="16.350000000000001" customHeight="1" x14ac:dyDescent="0.2">
      <c r="A33" s="42" t="s">
        <v>542</v>
      </c>
      <c r="B33" s="42">
        <v>2</v>
      </c>
      <c r="C33" s="42"/>
      <c r="D33" s="41" t="s">
        <v>325</v>
      </c>
      <c r="E33" s="41"/>
      <c r="F33" s="59">
        <v>751</v>
      </c>
      <c r="G33" s="59">
        <v>2000</v>
      </c>
      <c r="H33" s="60">
        <f>IF(H32="","",H32-(H32*0.1))</f>
        <v>3.8608200000000004</v>
      </c>
      <c r="I33" s="61">
        <v>0</v>
      </c>
      <c r="J33" s="94" t="s">
        <v>361</v>
      </c>
      <c r="K33" s="94"/>
      <c r="L33" s="94"/>
      <c r="M33" s="94"/>
      <c r="O33" s="27">
        <v>3.5550000000000002</v>
      </c>
      <c r="P33" s="27" t="s">
        <v>462</v>
      </c>
    </row>
    <row r="34" spans="1:16" s="27" customFormat="1" ht="16.350000000000001" customHeight="1" x14ac:dyDescent="0.2">
      <c r="A34" s="42" t="s">
        <v>542</v>
      </c>
      <c r="B34" s="42">
        <v>2</v>
      </c>
      <c r="C34" s="42"/>
      <c r="D34" s="41" t="s">
        <v>325</v>
      </c>
      <c r="E34" s="41"/>
      <c r="F34" s="59">
        <v>2001</v>
      </c>
      <c r="G34" s="59">
        <v>999999</v>
      </c>
      <c r="H34" s="60">
        <f>IF(H32="","",H32-(H32*0.2))</f>
        <v>3.4318400000000002</v>
      </c>
      <c r="I34" s="61">
        <v>0</v>
      </c>
      <c r="J34" s="94" t="s">
        <v>361</v>
      </c>
      <c r="K34" s="94"/>
      <c r="L34" s="94"/>
      <c r="M34" s="94"/>
      <c r="O34" s="27">
        <v>1.2649999999999999</v>
      </c>
      <c r="P34" s="27" t="s">
        <v>463</v>
      </c>
    </row>
    <row r="35" spans="1:16" s="27" customFormat="1" ht="16.350000000000001" customHeight="1" x14ac:dyDescent="0.2">
      <c r="A35" s="42" t="s">
        <v>542</v>
      </c>
      <c r="B35" s="42">
        <v>2</v>
      </c>
      <c r="C35" s="42">
        <f>+C32+O36+O37</f>
        <v>5.85</v>
      </c>
      <c r="D35" s="41" t="s">
        <v>326</v>
      </c>
      <c r="E35" s="41"/>
      <c r="F35" s="59">
        <v>0</v>
      </c>
      <c r="G35" s="59">
        <v>750</v>
      </c>
      <c r="H35" s="60">
        <f>+C35*$B$6*$L$5</f>
        <v>5.2065000000000001</v>
      </c>
      <c r="I35" s="61">
        <v>0</v>
      </c>
      <c r="J35" s="94" t="s">
        <v>362</v>
      </c>
      <c r="K35" s="94"/>
      <c r="L35" s="94"/>
      <c r="M35" s="94"/>
      <c r="O35" s="62" t="s">
        <v>460</v>
      </c>
    </row>
    <row r="36" spans="1:16" s="27" customFormat="1" ht="16.350000000000001" customHeight="1" x14ac:dyDescent="0.2">
      <c r="A36" s="42" t="s">
        <v>542</v>
      </c>
      <c r="B36" s="42">
        <v>2</v>
      </c>
      <c r="C36" s="42"/>
      <c r="D36" s="41" t="s">
        <v>326</v>
      </c>
      <c r="E36" s="41"/>
      <c r="F36" s="59">
        <v>751</v>
      </c>
      <c r="G36" s="59">
        <v>2000</v>
      </c>
      <c r="H36" s="60">
        <f>IF(H35="","",H35-(H35*0.1))</f>
        <v>4.6858500000000003</v>
      </c>
      <c r="I36" s="61">
        <v>0</v>
      </c>
      <c r="J36" s="94" t="s">
        <v>362</v>
      </c>
      <c r="K36" s="94"/>
      <c r="L36" s="94"/>
      <c r="M36" s="94"/>
      <c r="O36" s="27">
        <v>0.76</v>
      </c>
      <c r="P36" s="27" t="s">
        <v>464</v>
      </c>
    </row>
    <row r="37" spans="1:16" s="27" customFormat="1" ht="16.350000000000001" customHeight="1" x14ac:dyDescent="0.2">
      <c r="A37" s="42" t="s">
        <v>542</v>
      </c>
      <c r="B37" s="42">
        <v>2</v>
      </c>
      <c r="C37" s="42"/>
      <c r="D37" s="41" t="s">
        <v>326</v>
      </c>
      <c r="E37" s="41"/>
      <c r="F37" s="59">
        <v>2001</v>
      </c>
      <c r="G37" s="59">
        <v>999999</v>
      </c>
      <c r="H37" s="60">
        <f>IF(H36="","",H36-(H36*0.1))</f>
        <v>4.2172650000000003</v>
      </c>
      <c r="I37" s="61">
        <v>0</v>
      </c>
      <c r="J37" s="94" t="s">
        <v>362</v>
      </c>
      <c r="K37" s="94"/>
      <c r="L37" s="94"/>
      <c r="M37" s="94"/>
      <c r="O37" s="27">
        <v>0.27</v>
      </c>
      <c r="P37" s="27" t="s">
        <v>465</v>
      </c>
    </row>
    <row r="38" spans="1:16" s="27" customFormat="1" ht="16.350000000000001" customHeight="1" x14ac:dyDescent="0.2">
      <c r="A38" s="42" t="s">
        <v>542</v>
      </c>
      <c r="B38" s="42">
        <v>2</v>
      </c>
      <c r="C38" s="42">
        <f>+C35+O36+O37</f>
        <v>6.879999999999999</v>
      </c>
      <c r="D38" s="41" t="s">
        <v>327</v>
      </c>
      <c r="E38" s="41"/>
      <c r="F38" s="59">
        <v>0</v>
      </c>
      <c r="G38" s="59">
        <v>750</v>
      </c>
      <c r="H38" s="60">
        <f>+C38*$B$6*$L$5</f>
        <v>6.1231999999999989</v>
      </c>
      <c r="I38" s="61">
        <v>0</v>
      </c>
      <c r="J38" s="94" t="s">
        <v>363</v>
      </c>
      <c r="K38" s="94"/>
      <c r="L38" s="94"/>
      <c r="M38" s="94"/>
      <c r="O38" s="62" t="s">
        <v>460</v>
      </c>
    </row>
    <row r="39" spans="1:16" s="27" customFormat="1" ht="16.350000000000001" customHeight="1" x14ac:dyDescent="0.2">
      <c r="A39" s="42" t="s">
        <v>542</v>
      </c>
      <c r="B39" s="42">
        <v>2</v>
      </c>
      <c r="C39" s="42"/>
      <c r="D39" s="41" t="s">
        <v>327</v>
      </c>
      <c r="E39" s="41"/>
      <c r="F39" s="59">
        <v>751</v>
      </c>
      <c r="G39" s="59">
        <v>2000</v>
      </c>
      <c r="H39" s="60">
        <f>IF(H38="","",H38-(H38*0.1))</f>
        <v>5.5108799999999984</v>
      </c>
      <c r="I39" s="61">
        <v>0</v>
      </c>
      <c r="J39" s="94" t="s">
        <v>363</v>
      </c>
      <c r="K39" s="94"/>
      <c r="L39" s="94"/>
      <c r="M39" s="94"/>
    </row>
    <row r="40" spans="1:16" s="27" customFormat="1" ht="16.350000000000001" customHeight="1" x14ac:dyDescent="0.2">
      <c r="A40" s="42" t="s">
        <v>542</v>
      </c>
      <c r="B40" s="42">
        <v>2</v>
      </c>
      <c r="C40" s="42"/>
      <c r="D40" s="41" t="s">
        <v>327</v>
      </c>
      <c r="E40" s="41"/>
      <c r="F40" s="59">
        <v>2001</v>
      </c>
      <c r="G40" s="59">
        <v>999999</v>
      </c>
      <c r="H40" s="60">
        <f>IF(H39="","",H39-(H39*0.1))</f>
        <v>4.9597919999999984</v>
      </c>
      <c r="I40" s="61">
        <v>0</v>
      </c>
      <c r="J40" s="94" t="s">
        <v>363</v>
      </c>
      <c r="K40" s="94"/>
      <c r="L40" s="94"/>
      <c r="M40" s="94"/>
    </row>
    <row r="41" spans="1:16" s="27" customFormat="1" ht="16.350000000000001" customHeight="1" x14ac:dyDescent="0.2">
      <c r="A41" s="42" t="s">
        <v>542</v>
      </c>
      <c r="B41" s="42">
        <v>2</v>
      </c>
      <c r="C41" s="42">
        <f>+C38+O36*2+O37*2</f>
        <v>8.9399999999999977</v>
      </c>
      <c r="D41" s="41" t="s">
        <v>360</v>
      </c>
      <c r="E41" s="41"/>
      <c r="F41" s="59">
        <v>0</v>
      </c>
      <c r="G41" s="59">
        <v>750</v>
      </c>
      <c r="H41" s="60">
        <f>+C41*$B$6*$L$5</f>
        <v>7.9565999999999981</v>
      </c>
      <c r="I41" s="61">
        <v>0</v>
      </c>
      <c r="J41" s="94" t="s">
        <v>364</v>
      </c>
      <c r="K41" s="94"/>
      <c r="L41" s="94"/>
      <c r="M41" s="94"/>
      <c r="O41" s="62" t="s">
        <v>460</v>
      </c>
    </row>
    <row r="42" spans="1:16" s="27" customFormat="1" ht="16.350000000000001" customHeight="1" x14ac:dyDescent="0.2">
      <c r="A42" s="42" t="s">
        <v>542</v>
      </c>
      <c r="B42" s="42">
        <v>2</v>
      </c>
      <c r="C42" s="42"/>
      <c r="D42" s="41" t="s">
        <v>360</v>
      </c>
      <c r="E42" s="41"/>
      <c r="F42" s="59">
        <v>751</v>
      </c>
      <c r="G42" s="59">
        <v>2000</v>
      </c>
      <c r="H42" s="60">
        <f>IF(H41="","",H41-(H41*0.1))</f>
        <v>7.1609399999999983</v>
      </c>
      <c r="I42" s="61">
        <v>0</v>
      </c>
      <c r="J42" s="94" t="s">
        <v>364</v>
      </c>
      <c r="K42" s="94"/>
      <c r="L42" s="94"/>
      <c r="M42" s="94"/>
      <c r="O42" s="27" t="s">
        <v>461</v>
      </c>
    </row>
    <row r="43" spans="1:16" s="27" customFormat="1" ht="16.350000000000001" customHeight="1" x14ac:dyDescent="0.2">
      <c r="A43" s="42" t="s">
        <v>542</v>
      </c>
      <c r="B43" s="42">
        <v>2</v>
      </c>
      <c r="C43" s="42"/>
      <c r="D43" s="41" t="s">
        <v>360</v>
      </c>
      <c r="E43" s="41"/>
      <c r="F43" s="59">
        <v>2001</v>
      </c>
      <c r="G43" s="59">
        <v>999999</v>
      </c>
      <c r="H43" s="60">
        <f>IF(H42="","",H42-(H42*0.1))</f>
        <v>6.4448459999999983</v>
      </c>
      <c r="I43" s="61">
        <v>0</v>
      </c>
      <c r="J43" s="94" t="s">
        <v>364</v>
      </c>
      <c r="K43" s="94"/>
      <c r="L43" s="94"/>
      <c r="M43" s="94"/>
    </row>
    <row r="44" spans="1:16" s="27" customFormat="1" ht="16.350000000000001" customHeight="1" x14ac:dyDescent="0.2">
      <c r="A44" s="42" t="s">
        <v>392</v>
      </c>
      <c r="B44" s="42"/>
      <c r="C44" s="43">
        <f>+C50*0.84357</f>
        <v>20.372215499999999</v>
      </c>
      <c r="D44" s="41" t="s">
        <v>20</v>
      </c>
      <c r="E44" s="41" t="s">
        <v>26</v>
      </c>
      <c r="F44" s="59">
        <v>0</v>
      </c>
      <c r="G44" s="59">
        <v>999</v>
      </c>
      <c r="H44" s="60">
        <f>+C44*$B$6*$L$5</f>
        <v>18.131271795</v>
      </c>
      <c r="I44" s="61">
        <v>0</v>
      </c>
      <c r="J44" s="94" t="s">
        <v>143</v>
      </c>
      <c r="K44" s="94"/>
      <c r="L44" s="94"/>
      <c r="M44" s="94"/>
      <c r="O44" s="27" t="s">
        <v>481</v>
      </c>
    </row>
    <row r="45" spans="1:16" s="27" customFormat="1" ht="16.350000000000001" customHeight="1" x14ac:dyDescent="0.2">
      <c r="A45" s="42" t="s">
        <v>392</v>
      </c>
      <c r="B45" s="42"/>
      <c r="C45" s="42"/>
      <c r="D45" s="41" t="s">
        <v>20</v>
      </c>
      <c r="E45" s="41" t="s">
        <v>26</v>
      </c>
      <c r="F45" s="59">
        <v>1000</v>
      </c>
      <c r="G45" s="59">
        <v>1999</v>
      </c>
      <c r="H45" s="60">
        <f>IF(H44="","",H44-(H44*0.1))</f>
        <v>16.3181446155</v>
      </c>
      <c r="I45" s="61">
        <v>0</v>
      </c>
      <c r="J45" s="94" t="s">
        <v>143</v>
      </c>
      <c r="K45" s="94"/>
      <c r="L45" s="94"/>
      <c r="M45" s="94"/>
    </row>
    <row r="46" spans="1:16" s="27" customFormat="1" ht="16.350000000000001" customHeight="1" x14ac:dyDescent="0.2">
      <c r="A46" s="42" t="s">
        <v>392</v>
      </c>
      <c r="B46" s="42"/>
      <c r="C46" s="42"/>
      <c r="D46" s="41" t="s">
        <v>20</v>
      </c>
      <c r="E46" s="41" t="s">
        <v>26</v>
      </c>
      <c r="F46" s="59">
        <v>2000</v>
      </c>
      <c r="G46" s="59">
        <v>999999</v>
      </c>
      <c r="H46" s="60">
        <f>IF(H45="","",H45-(H45*0.1))</f>
        <v>14.686330153949999</v>
      </c>
      <c r="I46" s="61">
        <v>0</v>
      </c>
      <c r="J46" s="94" t="s">
        <v>143</v>
      </c>
      <c r="K46" s="94"/>
      <c r="L46" s="94"/>
      <c r="M46" s="94"/>
    </row>
    <row r="47" spans="1:16" s="27" customFormat="1" ht="16.350000000000001" customHeight="1" x14ac:dyDescent="0.2">
      <c r="A47" s="42" t="s">
        <v>392</v>
      </c>
      <c r="B47" s="42"/>
      <c r="C47" s="42">
        <f>+C53*0.84357</f>
        <v>26.51762295</v>
      </c>
      <c r="D47" s="41" t="s">
        <v>20</v>
      </c>
      <c r="E47" s="41" t="s">
        <v>27</v>
      </c>
      <c r="F47" s="59">
        <v>0</v>
      </c>
      <c r="G47" s="59">
        <v>999</v>
      </c>
      <c r="H47" s="60">
        <f>+C47*$B$6*$L$5</f>
        <v>23.600684425499999</v>
      </c>
      <c r="I47" s="61">
        <v>0</v>
      </c>
      <c r="J47" s="94" t="s">
        <v>144</v>
      </c>
      <c r="K47" s="94"/>
      <c r="L47" s="94"/>
      <c r="M47" s="94"/>
      <c r="O47" s="27" t="s">
        <v>481</v>
      </c>
    </row>
    <row r="48" spans="1:16" s="27" customFormat="1" ht="16.350000000000001" customHeight="1" x14ac:dyDescent="0.2">
      <c r="A48" s="42" t="s">
        <v>392</v>
      </c>
      <c r="B48" s="42"/>
      <c r="C48" s="42"/>
      <c r="D48" s="41" t="s">
        <v>20</v>
      </c>
      <c r="E48" s="41" t="s">
        <v>27</v>
      </c>
      <c r="F48" s="59">
        <v>1000</v>
      </c>
      <c r="G48" s="59">
        <v>1999</v>
      </c>
      <c r="H48" s="60">
        <f>IF(H47="","",H47-(H47*0.1))</f>
        <v>21.240615982950001</v>
      </c>
      <c r="I48" s="61">
        <v>0</v>
      </c>
      <c r="J48" s="94" t="s">
        <v>144</v>
      </c>
      <c r="K48" s="94"/>
      <c r="L48" s="94"/>
      <c r="M48" s="94"/>
    </row>
    <row r="49" spans="1:15" s="27" customFormat="1" ht="16.350000000000001" customHeight="1" x14ac:dyDescent="0.2">
      <c r="A49" s="42" t="s">
        <v>392</v>
      </c>
      <c r="B49" s="42"/>
      <c r="C49" s="42"/>
      <c r="D49" s="41" t="s">
        <v>20</v>
      </c>
      <c r="E49" s="41" t="s">
        <v>27</v>
      </c>
      <c r="F49" s="59">
        <v>2000</v>
      </c>
      <c r="G49" s="59">
        <v>999999</v>
      </c>
      <c r="H49" s="60">
        <f>IF(H48="","",H48-(H48*0.1))</f>
        <v>19.116554384655</v>
      </c>
      <c r="I49" s="61">
        <v>0</v>
      </c>
      <c r="J49" s="94" t="s">
        <v>144</v>
      </c>
      <c r="K49" s="94"/>
      <c r="L49" s="94"/>
      <c r="M49" s="94"/>
    </row>
    <row r="50" spans="1:15" s="27" customFormat="1" ht="16.350000000000001" customHeight="1" x14ac:dyDescent="0.2">
      <c r="A50" s="42" t="s">
        <v>543</v>
      </c>
      <c r="B50" s="42">
        <v>30</v>
      </c>
      <c r="C50" s="43">
        <v>24.15</v>
      </c>
      <c r="D50" s="41" t="s">
        <v>20</v>
      </c>
      <c r="E50" s="41" t="s">
        <v>28</v>
      </c>
      <c r="F50" s="59">
        <v>0</v>
      </c>
      <c r="G50" s="59">
        <v>999</v>
      </c>
      <c r="H50" s="60">
        <f>+C50*$B$6*$L$5</f>
        <v>21.493499999999997</v>
      </c>
      <c r="I50" s="61">
        <v>0</v>
      </c>
      <c r="J50" s="94" t="s">
        <v>467</v>
      </c>
      <c r="K50" s="94"/>
      <c r="L50" s="94"/>
      <c r="M50" s="94"/>
      <c r="O50" s="27" t="s">
        <v>466</v>
      </c>
    </row>
    <row r="51" spans="1:15" s="27" customFormat="1" ht="16.350000000000001" customHeight="1" x14ac:dyDescent="0.2">
      <c r="A51" s="42" t="s">
        <v>543</v>
      </c>
      <c r="B51" s="42">
        <v>30</v>
      </c>
      <c r="C51" s="42"/>
      <c r="D51" s="41" t="s">
        <v>20</v>
      </c>
      <c r="E51" s="41" t="s">
        <v>28</v>
      </c>
      <c r="F51" s="59">
        <v>1000</v>
      </c>
      <c r="G51" s="59">
        <v>1999</v>
      </c>
      <c r="H51" s="60">
        <f>IF(H50="","",H50-(H50*0.1))</f>
        <v>19.344149999999999</v>
      </c>
      <c r="I51" s="61">
        <v>0</v>
      </c>
      <c r="J51" s="94" t="s">
        <v>467</v>
      </c>
      <c r="K51" s="94"/>
      <c r="L51" s="94"/>
      <c r="M51" s="94"/>
    </row>
    <row r="52" spans="1:15" s="27" customFormat="1" ht="16.350000000000001" customHeight="1" x14ac:dyDescent="0.2">
      <c r="A52" s="42" t="s">
        <v>543</v>
      </c>
      <c r="B52" s="42">
        <v>30</v>
      </c>
      <c r="C52" s="42"/>
      <c r="D52" s="41" t="s">
        <v>20</v>
      </c>
      <c r="E52" s="41" t="s">
        <v>28</v>
      </c>
      <c r="F52" s="59">
        <v>2000</v>
      </c>
      <c r="G52" s="59">
        <v>999999</v>
      </c>
      <c r="H52" s="60">
        <f>IF(H51="","",H51-(H51*0.1))</f>
        <v>17.409734999999998</v>
      </c>
      <c r="I52" s="61">
        <v>0</v>
      </c>
      <c r="J52" s="94" t="s">
        <v>467</v>
      </c>
      <c r="K52" s="94"/>
      <c r="L52" s="94"/>
      <c r="M52" s="94"/>
    </row>
    <row r="53" spans="1:15" s="27" customFormat="1" ht="16.350000000000001" customHeight="1" x14ac:dyDescent="0.2">
      <c r="A53" s="42" t="s">
        <v>543</v>
      </c>
      <c r="B53" s="42">
        <v>30</v>
      </c>
      <c r="C53" s="43">
        <f>+C50+C81</f>
        <v>31.434999999999999</v>
      </c>
      <c r="D53" s="41" t="s">
        <v>20</v>
      </c>
      <c r="E53" s="41" t="s">
        <v>29</v>
      </c>
      <c r="F53" s="59">
        <v>0</v>
      </c>
      <c r="G53" s="59">
        <v>999</v>
      </c>
      <c r="H53" s="60">
        <f>+C53*$B$6*$L$5</f>
        <v>27.977149999999998</v>
      </c>
      <c r="I53" s="61">
        <v>0</v>
      </c>
      <c r="J53" s="94" t="s">
        <v>258</v>
      </c>
      <c r="K53" s="94"/>
      <c r="L53" s="94"/>
      <c r="M53" s="94"/>
      <c r="O53" s="27" t="s">
        <v>482</v>
      </c>
    </row>
    <row r="54" spans="1:15" s="27" customFormat="1" ht="16.350000000000001" customHeight="1" x14ac:dyDescent="0.2">
      <c r="A54" s="42" t="s">
        <v>543</v>
      </c>
      <c r="B54" s="42">
        <v>30</v>
      </c>
      <c r="C54" s="42"/>
      <c r="D54" s="41" t="s">
        <v>20</v>
      </c>
      <c r="E54" s="41" t="s">
        <v>29</v>
      </c>
      <c r="F54" s="59">
        <v>1000</v>
      </c>
      <c r="G54" s="59">
        <v>1999</v>
      </c>
      <c r="H54" s="60">
        <f>IF(H53="","",H53-(H53*0.1))</f>
        <v>25.179434999999998</v>
      </c>
      <c r="I54" s="61">
        <v>0</v>
      </c>
      <c r="J54" s="94" t="s">
        <v>258</v>
      </c>
      <c r="K54" s="94"/>
      <c r="L54" s="94"/>
      <c r="M54" s="94"/>
    </row>
    <row r="55" spans="1:15" s="27" customFormat="1" ht="16.350000000000001" customHeight="1" x14ac:dyDescent="0.2">
      <c r="A55" s="42" t="s">
        <v>543</v>
      </c>
      <c r="B55" s="42">
        <v>30</v>
      </c>
      <c r="C55" s="42"/>
      <c r="D55" s="41" t="s">
        <v>20</v>
      </c>
      <c r="E55" s="41" t="s">
        <v>29</v>
      </c>
      <c r="F55" s="59">
        <v>2000</v>
      </c>
      <c r="G55" s="59">
        <v>999999</v>
      </c>
      <c r="H55" s="60">
        <f>IF(H54="","",H54-(H54*0.1))</f>
        <v>22.661491499999997</v>
      </c>
      <c r="I55" s="61">
        <v>0</v>
      </c>
      <c r="J55" s="94" t="s">
        <v>258</v>
      </c>
      <c r="K55" s="94"/>
      <c r="L55" s="94"/>
      <c r="M55" s="94"/>
    </row>
    <row r="56" spans="1:15" s="27" customFormat="1" ht="16.350000000000001" customHeight="1" x14ac:dyDescent="0.2">
      <c r="A56" s="42" t="s">
        <v>543</v>
      </c>
      <c r="B56" s="42">
        <v>30</v>
      </c>
      <c r="C56" s="63">
        <f>+C59-C81</f>
        <v>25.965</v>
      </c>
      <c r="D56" s="41" t="s">
        <v>20</v>
      </c>
      <c r="E56" s="41" t="s">
        <v>30</v>
      </c>
      <c r="F56" s="59">
        <v>0</v>
      </c>
      <c r="G56" s="59">
        <v>999</v>
      </c>
      <c r="H56" s="60">
        <f>+C56*$B$6*$L$5</f>
        <v>23.10885</v>
      </c>
      <c r="I56" s="61">
        <v>0</v>
      </c>
      <c r="J56" s="94" t="s">
        <v>471</v>
      </c>
      <c r="K56" s="94"/>
      <c r="L56" s="94"/>
      <c r="M56" s="94"/>
      <c r="O56" s="27" t="s">
        <v>483</v>
      </c>
    </row>
    <row r="57" spans="1:15" s="27" customFormat="1" ht="16.350000000000001" customHeight="1" x14ac:dyDescent="0.2">
      <c r="A57" s="42" t="s">
        <v>543</v>
      </c>
      <c r="B57" s="42">
        <v>30</v>
      </c>
      <c r="C57" s="42"/>
      <c r="D57" s="41" t="s">
        <v>20</v>
      </c>
      <c r="E57" s="41" t="s">
        <v>30</v>
      </c>
      <c r="F57" s="59">
        <v>1000</v>
      </c>
      <c r="G57" s="59">
        <v>1999</v>
      </c>
      <c r="H57" s="60">
        <f>IF(H56="","",H56-(H56*0.1))</f>
        <v>20.797965000000001</v>
      </c>
      <c r="I57" s="61">
        <v>0</v>
      </c>
      <c r="J57" s="94" t="s">
        <v>145</v>
      </c>
      <c r="K57" s="94"/>
      <c r="L57" s="94"/>
      <c r="M57" s="94"/>
    </row>
    <row r="58" spans="1:15" s="27" customFormat="1" ht="16.350000000000001" customHeight="1" x14ac:dyDescent="0.2">
      <c r="A58" s="42" t="s">
        <v>543</v>
      </c>
      <c r="B58" s="42">
        <v>30</v>
      </c>
      <c r="C58" s="42"/>
      <c r="D58" s="41" t="s">
        <v>20</v>
      </c>
      <c r="E58" s="41" t="s">
        <v>30</v>
      </c>
      <c r="F58" s="59">
        <v>2000</v>
      </c>
      <c r="G58" s="59">
        <v>999999</v>
      </c>
      <c r="H58" s="60">
        <f>IF(H57="","",H57-(H57*0.1))</f>
        <v>18.718168500000001</v>
      </c>
      <c r="I58" s="61">
        <v>0</v>
      </c>
      <c r="J58" s="94" t="s">
        <v>145</v>
      </c>
      <c r="K58" s="94"/>
      <c r="L58" s="94"/>
      <c r="M58" s="94"/>
    </row>
    <row r="59" spans="1:15" s="27" customFormat="1" ht="16.350000000000001" customHeight="1" x14ac:dyDescent="0.2">
      <c r="A59" s="42" t="s">
        <v>543</v>
      </c>
      <c r="B59" s="42">
        <v>30</v>
      </c>
      <c r="C59" s="43">
        <v>33.25</v>
      </c>
      <c r="D59" s="41" t="s">
        <v>20</v>
      </c>
      <c r="E59" s="41" t="s">
        <v>263</v>
      </c>
      <c r="F59" s="59">
        <v>0</v>
      </c>
      <c r="G59" s="59">
        <v>999</v>
      </c>
      <c r="H59" s="60">
        <f>+C59*$B$6*$L$5</f>
        <v>29.592500000000001</v>
      </c>
      <c r="I59" s="61">
        <v>0</v>
      </c>
      <c r="J59" s="94" t="s">
        <v>470</v>
      </c>
      <c r="K59" s="94"/>
      <c r="L59" s="94"/>
      <c r="M59" s="94"/>
      <c r="O59" s="27" t="s">
        <v>468</v>
      </c>
    </row>
    <row r="60" spans="1:15" s="27" customFormat="1" ht="16.350000000000001" customHeight="1" x14ac:dyDescent="0.2">
      <c r="A60" s="42" t="s">
        <v>543</v>
      </c>
      <c r="B60" s="42">
        <v>30</v>
      </c>
      <c r="C60" s="42"/>
      <c r="D60" s="41" t="s">
        <v>20</v>
      </c>
      <c r="E60" s="41" t="s">
        <v>263</v>
      </c>
      <c r="F60" s="59">
        <v>1000</v>
      </c>
      <c r="G60" s="59">
        <v>1999</v>
      </c>
      <c r="H60" s="60">
        <f>IF(H59="","",H59-(H59*0.1))</f>
        <v>26.63325</v>
      </c>
      <c r="I60" s="61">
        <v>0</v>
      </c>
      <c r="J60" s="94" t="s">
        <v>258</v>
      </c>
      <c r="K60" s="94"/>
      <c r="L60" s="94"/>
      <c r="M60" s="94"/>
    </row>
    <row r="61" spans="1:15" s="27" customFormat="1" ht="16.350000000000001" customHeight="1" x14ac:dyDescent="0.2">
      <c r="A61" s="42" t="s">
        <v>543</v>
      </c>
      <c r="B61" s="42">
        <v>30</v>
      </c>
      <c r="C61" s="42"/>
      <c r="D61" s="41" t="s">
        <v>20</v>
      </c>
      <c r="E61" s="41" t="s">
        <v>263</v>
      </c>
      <c r="F61" s="59">
        <v>2000</v>
      </c>
      <c r="G61" s="59">
        <v>999999</v>
      </c>
      <c r="H61" s="60">
        <f>IF(H60="","",H60-(H60*0.1))</f>
        <v>23.969925</v>
      </c>
      <c r="I61" s="61">
        <v>0</v>
      </c>
      <c r="J61" s="94" t="s">
        <v>258</v>
      </c>
      <c r="K61" s="94"/>
      <c r="L61" s="94"/>
      <c r="M61" s="94"/>
    </row>
    <row r="62" spans="1:15" s="27" customFormat="1" ht="16.350000000000001" customHeight="1" x14ac:dyDescent="0.2">
      <c r="A62" s="42" t="s">
        <v>543</v>
      </c>
      <c r="B62" s="42">
        <v>30</v>
      </c>
      <c r="C62" s="43">
        <f>+C63-C81</f>
        <v>38.715000000000003</v>
      </c>
      <c r="D62" s="41" t="s">
        <v>20</v>
      </c>
      <c r="E62" s="41" t="s">
        <v>241</v>
      </c>
      <c r="F62" s="59">
        <v>0</v>
      </c>
      <c r="G62" s="59">
        <v>999999</v>
      </c>
      <c r="H62" s="60">
        <f>+C62*$B$6*$L$5</f>
        <v>34.45635</v>
      </c>
      <c r="I62" s="61">
        <v>0</v>
      </c>
      <c r="J62" s="94" t="s">
        <v>480</v>
      </c>
      <c r="K62" s="94"/>
      <c r="L62" s="94"/>
      <c r="M62" s="94"/>
      <c r="O62" s="27" t="s">
        <v>484</v>
      </c>
    </row>
    <row r="63" spans="1:15" s="27" customFormat="1" ht="16.350000000000001" customHeight="1" x14ac:dyDescent="0.2">
      <c r="A63" s="42" t="s">
        <v>543</v>
      </c>
      <c r="B63" s="42">
        <v>30</v>
      </c>
      <c r="C63" s="43">
        <v>46</v>
      </c>
      <c r="D63" s="41" t="s">
        <v>20</v>
      </c>
      <c r="E63" s="41" t="s">
        <v>240</v>
      </c>
      <c r="F63" s="59">
        <v>0</v>
      </c>
      <c r="G63" s="59">
        <v>999999</v>
      </c>
      <c r="H63" s="60">
        <f>+C63*$B$6*$L$5</f>
        <v>40.94</v>
      </c>
      <c r="I63" s="61">
        <v>0</v>
      </c>
      <c r="J63" s="94" t="s">
        <v>479</v>
      </c>
      <c r="K63" s="94"/>
      <c r="L63" s="94"/>
      <c r="M63" s="94"/>
      <c r="O63" s="27" t="s">
        <v>469</v>
      </c>
    </row>
    <row r="64" spans="1:15" s="27" customFormat="1" ht="16.350000000000001" customHeight="1" x14ac:dyDescent="0.2">
      <c r="A64" s="25"/>
      <c r="B64" s="25"/>
      <c r="C64" s="45"/>
      <c r="F64" s="64"/>
      <c r="G64" s="64"/>
      <c r="H64" s="65"/>
      <c r="I64" s="26"/>
      <c r="J64" s="54"/>
      <c r="K64" s="54"/>
      <c r="L64" s="54"/>
      <c r="M64" s="54"/>
    </row>
    <row r="65" spans="1:15" s="27" customFormat="1" ht="16.350000000000001" customHeight="1" x14ac:dyDescent="0.2">
      <c r="A65" s="55" t="s">
        <v>389</v>
      </c>
      <c r="B65" s="55" t="s">
        <v>390</v>
      </c>
      <c r="C65" s="55" t="s">
        <v>391</v>
      </c>
      <c r="D65" s="56" t="s">
        <v>2</v>
      </c>
      <c r="E65" s="55" t="s">
        <v>334</v>
      </c>
      <c r="F65" s="66" t="s">
        <v>333</v>
      </c>
      <c r="G65" s="66" t="s">
        <v>333</v>
      </c>
      <c r="H65" s="57" t="s">
        <v>335</v>
      </c>
      <c r="I65" s="58" t="s">
        <v>336</v>
      </c>
      <c r="J65" s="95" t="s">
        <v>0</v>
      </c>
      <c r="K65" s="95"/>
      <c r="L65" s="95"/>
      <c r="M65" s="95"/>
    </row>
    <row r="66" spans="1:15" s="27" customFormat="1" ht="16.350000000000001" customHeight="1" x14ac:dyDescent="0.2">
      <c r="A66" s="42" t="s">
        <v>392</v>
      </c>
      <c r="B66" s="42"/>
      <c r="C66" s="43">
        <f>+C72*0.84357</f>
        <v>21.3001425</v>
      </c>
      <c r="D66" s="41" t="s">
        <v>20</v>
      </c>
      <c r="E66" s="41" t="s">
        <v>21</v>
      </c>
      <c r="F66" s="59">
        <v>0</v>
      </c>
      <c r="G66" s="59">
        <v>999</v>
      </c>
      <c r="H66" s="60">
        <f>+C66*$B$6*$L$5</f>
        <v>18.957126825</v>
      </c>
      <c r="I66" s="61">
        <v>0</v>
      </c>
      <c r="J66" s="94" t="s">
        <v>146</v>
      </c>
      <c r="K66" s="94"/>
      <c r="L66" s="94"/>
      <c r="M66" s="94"/>
      <c r="O66" s="27" t="s">
        <v>488</v>
      </c>
    </row>
    <row r="67" spans="1:15" s="27" customFormat="1" ht="16.350000000000001" customHeight="1" x14ac:dyDescent="0.2">
      <c r="A67" s="42" t="s">
        <v>392</v>
      </c>
      <c r="B67" s="42"/>
      <c r="C67" s="42"/>
      <c r="D67" s="41" t="s">
        <v>20</v>
      </c>
      <c r="E67" s="41" t="s">
        <v>21</v>
      </c>
      <c r="F67" s="59">
        <v>1000</v>
      </c>
      <c r="G67" s="59">
        <v>1999</v>
      </c>
      <c r="H67" s="60">
        <f>IF(H66="","",H66-(H66*0.1))</f>
        <v>17.061414142499999</v>
      </c>
      <c r="I67" s="61">
        <v>0</v>
      </c>
      <c r="J67" s="94" t="s">
        <v>146</v>
      </c>
      <c r="K67" s="94"/>
      <c r="L67" s="94"/>
      <c r="M67" s="94"/>
    </row>
    <row r="68" spans="1:15" s="27" customFormat="1" ht="16.350000000000001" customHeight="1" x14ac:dyDescent="0.2">
      <c r="A68" s="42" t="s">
        <v>392</v>
      </c>
      <c r="B68" s="42"/>
      <c r="C68" s="42"/>
      <c r="D68" s="41" t="s">
        <v>20</v>
      </c>
      <c r="E68" s="41" t="s">
        <v>21</v>
      </c>
      <c r="F68" s="59">
        <v>2000</v>
      </c>
      <c r="G68" s="59">
        <v>999999</v>
      </c>
      <c r="H68" s="60">
        <f>IF(H67="","",H67-(H67*0.1))</f>
        <v>15.355272728249998</v>
      </c>
      <c r="I68" s="61">
        <v>0</v>
      </c>
      <c r="J68" s="94" t="s">
        <v>146</v>
      </c>
      <c r="K68" s="94"/>
      <c r="L68" s="94"/>
      <c r="M68" s="94"/>
    </row>
    <row r="69" spans="1:15" s="27" customFormat="1" ht="16.350000000000001" customHeight="1" x14ac:dyDescent="0.2">
      <c r="A69" s="42" t="s">
        <v>392</v>
      </c>
      <c r="B69" s="42"/>
      <c r="C69" s="43">
        <f>+C75*0.84357</f>
        <v>27.44554995</v>
      </c>
      <c r="D69" s="41" t="s">
        <v>20</v>
      </c>
      <c r="E69" s="41" t="s">
        <v>22</v>
      </c>
      <c r="F69" s="59">
        <v>0</v>
      </c>
      <c r="G69" s="59">
        <v>999</v>
      </c>
      <c r="H69" s="60">
        <f>+C69*$B$6*$L$5</f>
        <v>24.426539455500002</v>
      </c>
      <c r="I69" s="61">
        <v>0</v>
      </c>
      <c r="J69" s="94" t="s">
        <v>147</v>
      </c>
      <c r="K69" s="94"/>
      <c r="L69" s="94"/>
      <c r="M69" s="94"/>
      <c r="O69" s="27" t="s">
        <v>488</v>
      </c>
    </row>
    <row r="70" spans="1:15" s="27" customFormat="1" ht="16.350000000000001" customHeight="1" x14ac:dyDescent="0.2">
      <c r="A70" s="42" t="s">
        <v>392</v>
      </c>
      <c r="B70" s="42"/>
      <c r="C70" s="42"/>
      <c r="D70" s="41" t="s">
        <v>20</v>
      </c>
      <c r="E70" s="41" t="s">
        <v>22</v>
      </c>
      <c r="F70" s="59">
        <v>1000</v>
      </c>
      <c r="G70" s="59">
        <v>1999</v>
      </c>
      <c r="H70" s="60">
        <f>IF(H69="","",H69-(H69*0.1))</f>
        <v>21.983885509950003</v>
      </c>
      <c r="I70" s="61">
        <v>0</v>
      </c>
      <c r="J70" s="94" t="s">
        <v>147</v>
      </c>
      <c r="K70" s="94"/>
      <c r="L70" s="94"/>
      <c r="M70" s="94"/>
    </row>
    <row r="71" spans="1:15" s="27" customFormat="1" ht="16.350000000000001" customHeight="1" x14ac:dyDescent="0.2">
      <c r="A71" s="42" t="s">
        <v>392</v>
      </c>
      <c r="B71" s="42"/>
      <c r="C71" s="42"/>
      <c r="D71" s="41" t="s">
        <v>20</v>
      </c>
      <c r="E71" s="41" t="s">
        <v>22</v>
      </c>
      <c r="F71" s="59">
        <v>2000</v>
      </c>
      <c r="G71" s="59">
        <v>999999</v>
      </c>
      <c r="H71" s="60">
        <f>IF(H70="","",H70-(H70*0.1))</f>
        <v>19.785496958955001</v>
      </c>
      <c r="I71" s="61">
        <v>0</v>
      </c>
      <c r="J71" s="94" t="s">
        <v>147</v>
      </c>
      <c r="K71" s="94"/>
      <c r="L71" s="94"/>
      <c r="M71" s="94"/>
    </row>
    <row r="72" spans="1:15" s="27" customFormat="1" ht="16.350000000000001" customHeight="1" x14ac:dyDescent="0.2">
      <c r="A72" s="42" t="s">
        <v>543</v>
      </c>
      <c r="B72" s="42">
        <v>30</v>
      </c>
      <c r="C72" s="43">
        <v>25.25</v>
      </c>
      <c r="D72" s="41" t="s">
        <v>20</v>
      </c>
      <c r="E72" s="41" t="s">
        <v>23</v>
      </c>
      <c r="F72" s="59">
        <v>0</v>
      </c>
      <c r="G72" s="59">
        <v>999</v>
      </c>
      <c r="H72" s="60">
        <f>+C72*$B$6*$L$5</f>
        <v>22.4725</v>
      </c>
      <c r="I72" s="61">
        <v>0</v>
      </c>
      <c r="J72" s="94" t="s">
        <v>259</v>
      </c>
      <c r="K72" s="94"/>
      <c r="L72" s="94"/>
      <c r="M72" s="94"/>
      <c r="O72" s="27" t="s">
        <v>486</v>
      </c>
    </row>
    <row r="73" spans="1:15" s="27" customFormat="1" ht="16.350000000000001" customHeight="1" x14ac:dyDescent="0.2">
      <c r="A73" s="42" t="s">
        <v>543</v>
      </c>
      <c r="B73" s="42">
        <v>30</v>
      </c>
      <c r="C73" s="42"/>
      <c r="D73" s="41" t="s">
        <v>20</v>
      </c>
      <c r="E73" s="41" t="s">
        <v>23</v>
      </c>
      <c r="F73" s="59">
        <v>1000</v>
      </c>
      <c r="G73" s="59">
        <v>1999</v>
      </c>
      <c r="H73" s="60">
        <f>IF(H72="","",H72-(H72*0.1))</f>
        <v>20.225249999999999</v>
      </c>
      <c r="I73" s="61">
        <v>0</v>
      </c>
      <c r="J73" s="94" t="s">
        <v>259</v>
      </c>
      <c r="K73" s="94"/>
      <c r="L73" s="94"/>
      <c r="M73" s="94"/>
    </row>
    <row r="74" spans="1:15" s="27" customFormat="1" ht="16.350000000000001" customHeight="1" x14ac:dyDescent="0.2">
      <c r="A74" s="42" t="s">
        <v>543</v>
      </c>
      <c r="B74" s="42">
        <v>30</v>
      </c>
      <c r="C74" s="42"/>
      <c r="D74" s="41" t="s">
        <v>20</v>
      </c>
      <c r="E74" s="41" t="s">
        <v>23</v>
      </c>
      <c r="F74" s="59">
        <v>2000</v>
      </c>
      <c r="G74" s="59">
        <v>999999</v>
      </c>
      <c r="H74" s="60">
        <f>IF(H73="","",H73-(H73*0.1))</f>
        <v>18.202725000000001</v>
      </c>
      <c r="I74" s="61">
        <v>0</v>
      </c>
      <c r="J74" s="94" t="s">
        <v>259</v>
      </c>
      <c r="K74" s="94"/>
      <c r="L74" s="94"/>
      <c r="M74" s="94"/>
    </row>
    <row r="75" spans="1:15" s="27" customFormat="1" ht="16.350000000000001" customHeight="1" x14ac:dyDescent="0.2">
      <c r="A75" s="42" t="s">
        <v>543</v>
      </c>
      <c r="B75" s="42">
        <v>30</v>
      </c>
      <c r="C75" s="43">
        <f>+C72+C81</f>
        <v>32.534999999999997</v>
      </c>
      <c r="D75" s="41" t="s">
        <v>20</v>
      </c>
      <c r="E75" s="41" t="s">
        <v>24</v>
      </c>
      <c r="F75" s="59">
        <v>0</v>
      </c>
      <c r="G75" s="59">
        <v>999</v>
      </c>
      <c r="H75" s="60">
        <f>+C75*$B$6*$L$5</f>
        <v>28.956149999999997</v>
      </c>
      <c r="I75" s="61">
        <v>0</v>
      </c>
      <c r="J75" s="94" t="s">
        <v>260</v>
      </c>
      <c r="K75" s="94"/>
      <c r="L75" s="94"/>
      <c r="M75" s="94"/>
      <c r="O75" s="27" t="s">
        <v>487</v>
      </c>
    </row>
    <row r="76" spans="1:15" s="27" customFormat="1" ht="16.350000000000001" customHeight="1" x14ac:dyDescent="0.2">
      <c r="A76" s="42" t="s">
        <v>543</v>
      </c>
      <c r="B76" s="42">
        <v>30</v>
      </c>
      <c r="C76" s="42"/>
      <c r="D76" s="41" t="s">
        <v>20</v>
      </c>
      <c r="E76" s="41" t="s">
        <v>24</v>
      </c>
      <c r="F76" s="59">
        <v>1000</v>
      </c>
      <c r="G76" s="59">
        <v>1999</v>
      </c>
      <c r="H76" s="60">
        <f>IF(H75="","",H75-(H75*0.1))</f>
        <v>26.060534999999998</v>
      </c>
      <c r="I76" s="61">
        <v>0</v>
      </c>
      <c r="J76" s="94" t="s">
        <v>260</v>
      </c>
      <c r="K76" s="94"/>
      <c r="L76" s="94"/>
      <c r="M76" s="94"/>
    </row>
    <row r="77" spans="1:15" s="27" customFormat="1" ht="16.350000000000001" customHeight="1" x14ac:dyDescent="0.2">
      <c r="A77" s="42" t="s">
        <v>543</v>
      </c>
      <c r="B77" s="42">
        <v>30</v>
      </c>
      <c r="C77" s="42"/>
      <c r="D77" s="41" t="s">
        <v>20</v>
      </c>
      <c r="E77" s="41" t="s">
        <v>24</v>
      </c>
      <c r="F77" s="59">
        <v>2000</v>
      </c>
      <c r="G77" s="59">
        <v>999999</v>
      </c>
      <c r="H77" s="60">
        <f>IF(H76="","",H76-(H76*0.1))</f>
        <v>23.4544815</v>
      </c>
      <c r="I77" s="61">
        <v>0</v>
      </c>
      <c r="J77" s="94" t="s">
        <v>260</v>
      </c>
      <c r="K77" s="94"/>
      <c r="L77" s="94"/>
      <c r="M77" s="94"/>
    </row>
    <row r="78" spans="1:15" s="27" customFormat="1" ht="16.350000000000001" customHeight="1" x14ac:dyDescent="0.2">
      <c r="A78" s="42" t="s">
        <v>543</v>
      </c>
      <c r="B78" s="42">
        <v>36</v>
      </c>
      <c r="C78" s="43">
        <v>39.5</v>
      </c>
      <c r="D78" s="41" t="s">
        <v>20</v>
      </c>
      <c r="E78" s="41" t="s">
        <v>25</v>
      </c>
      <c r="F78" s="59">
        <v>0</v>
      </c>
      <c r="G78" s="59">
        <v>999</v>
      </c>
      <c r="H78" s="60">
        <f>+C78*$B$6*$L$5</f>
        <v>35.155000000000001</v>
      </c>
      <c r="I78" s="61">
        <v>0</v>
      </c>
      <c r="J78" s="94" t="s">
        <v>148</v>
      </c>
      <c r="K78" s="94"/>
      <c r="L78" s="94"/>
      <c r="M78" s="94"/>
      <c r="O78" s="27" t="s">
        <v>485</v>
      </c>
    </row>
    <row r="79" spans="1:15" s="27" customFormat="1" ht="16.350000000000001" customHeight="1" x14ac:dyDescent="0.2">
      <c r="A79" s="42" t="s">
        <v>543</v>
      </c>
      <c r="B79" s="42">
        <v>36</v>
      </c>
      <c r="C79" s="42"/>
      <c r="D79" s="41" t="s">
        <v>20</v>
      </c>
      <c r="E79" s="41" t="s">
        <v>25</v>
      </c>
      <c r="F79" s="59">
        <v>1000</v>
      </c>
      <c r="G79" s="59">
        <v>1999</v>
      </c>
      <c r="H79" s="60">
        <f>IF(H78="","",H78-(H78*0.1))</f>
        <v>31.639500000000002</v>
      </c>
      <c r="I79" s="61">
        <v>0</v>
      </c>
      <c r="J79" s="94" t="s">
        <v>148</v>
      </c>
      <c r="K79" s="94"/>
      <c r="L79" s="94"/>
      <c r="M79" s="94"/>
    </row>
    <row r="80" spans="1:15" s="27" customFormat="1" ht="16.350000000000001" customHeight="1" x14ac:dyDescent="0.2">
      <c r="A80" s="42" t="s">
        <v>543</v>
      </c>
      <c r="B80" s="42">
        <v>36</v>
      </c>
      <c r="C80" s="42"/>
      <c r="D80" s="41" t="s">
        <v>20</v>
      </c>
      <c r="E80" s="41" t="s">
        <v>25</v>
      </c>
      <c r="F80" s="59">
        <v>2000</v>
      </c>
      <c r="G80" s="59">
        <v>999999</v>
      </c>
      <c r="H80" s="60">
        <f>IF(H79="","",H79-(H79*0.1))</f>
        <v>28.475550000000002</v>
      </c>
      <c r="I80" s="61">
        <v>0</v>
      </c>
      <c r="J80" s="94" t="s">
        <v>148</v>
      </c>
      <c r="K80" s="94"/>
      <c r="L80" s="94"/>
      <c r="M80" s="94"/>
    </row>
    <row r="81" spans="1:16" s="27" customFormat="1" ht="16.350000000000001" customHeight="1" x14ac:dyDescent="0.2">
      <c r="A81" s="42" t="s">
        <v>542</v>
      </c>
      <c r="B81" s="42">
        <v>2</v>
      </c>
      <c r="C81" s="42">
        <f>+O82-O83</f>
        <v>7.2850000000000001</v>
      </c>
      <c r="D81" s="41" t="s">
        <v>328</v>
      </c>
      <c r="E81" s="41" t="s">
        <v>2</v>
      </c>
      <c r="F81" s="59">
        <v>0</v>
      </c>
      <c r="G81" s="59">
        <v>750</v>
      </c>
      <c r="H81" s="60">
        <f>+C81*$B$6*$L$5</f>
        <v>6.4836499999999999</v>
      </c>
      <c r="I81" s="61">
        <v>0</v>
      </c>
      <c r="J81" s="94" t="s">
        <v>476</v>
      </c>
      <c r="K81" s="94"/>
      <c r="L81" s="94"/>
      <c r="M81" s="94"/>
      <c r="O81" s="62" t="s">
        <v>472</v>
      </c>
    </row>
    <row r="82" spans="1:16" s="27" customFormat="1" ht="16.350000000000001" customHeight="1" x14ac:dyDescent="0.2">
      <c r="A82" s="42" t="s">
        <v>542</v>
      </c>
      <c r="B82" s="42">
        <v>2</v>
      </c>
      <c r="C82" s="42"/>
      <c r="D82" s="41" t="s">
        <v>328</v>
      </c>
      <c r="E82" s="41" t="s">
        <v>2</v>
      </c>
      <c r="F82" s="59">
        <v>751</v>
      </c>
      <c r="G82" s="59">
        <v>2000</v>
      </c>
      <c r="H82" s="60">
        <f>IF(H81="","",H81-(H81*0.1))</f>
        <v>5.8352849999999998</v>
      </c>
      <c r="I82" s="61">
        <v>0</v>
      </c>
      <c r="J82" s="94" t="s">
        <v>365</v>
      </c>
      <c r="K82" s="94"/>
      <c r="L82" s="94"/>
      <c r="M82" s="94"/>
      <c r="O82" s="27">
        <f>(6.42+9.58)/2</f>
        <v>8</v>
      </c>
      <c r="P82" s="27" t="s">
        <v>473</v>
      </c>
    </row>
    <row r="83" spans="1:16" s="27" customFormat="1" ht="16.350000000000001" customHeight="1" x14ac:dyDescent="0.2">
      <c r="A83" s="42" t="s">
        <v>542</v>
      </c>
      <c r="B83" s="42">
        <v>2</v>
      </c>
      <c r="C83" s="42"/>
      <c r="D83" s="41" t="s">
        <v>328</v>
      </c>
      <c r="E83" s="41" t="s">
        <v>2</v>
      </c>
      <c r="F83" s="59">
        <v>2001</v>
      </c>
      <c r="G83" s="59">
        <v>999999</v>
      </c>
      <c r="H83" s="60">
        <f>IF(H82="","",H82-(H82*0.1))</f>
        <v>5.2517564999999999</v>
      </c>
      <c r="I83" s="61">
        <v>0</v>
      </c>
      <c r="J83" s="94" t="s">
        <v>365</v>
      </c>
      <c r="K83" s="94"/>
      <c r="L83" s="94"/>
      <c r="M83" s="94"/>
      <c r="O83" s="27">
        <f>(0.58+0.85)/2</f>
        <v>0.71499999999999997</v>
      </c>
      <c r="P83" s="27" t="s">
        <v>474</v>
      </c>
    </row>
    <row r="84" spans="1:16" s="27" customFormat="1" ht="16.350000000000001" customHeight="1" x14ac:dyDescent="0.2">
      <c r="A84" s="42" t="s">
        <v>542</v>
      </c>
      <c r="B84" s="42">
        <v>2</v>
      </c>
      <c r="C84" s="43">
        <f>+O82+O84</f>
        <v>9.0500000000000007</v>
      </c>
      <c r="D84" s="41" t="s">
        <v>329</v>
      </c>
      <c r="E84" s="41" t="s">
        <v>2</v>
      </c>
      <c r="F84" s="59">
        <v>0</v>
      </c>
      <c r="G84" s="59">
        <v>750</v>
      </c>
      <c r="H84" s="60">
        <f>+C84*$B$6*$L$5</f>
        <v>8.0545000000000009</v>
      </c>
      <c r="I84" s="61">
        <v>0</v>
      </c>
      <c r="J84" s="94" t="s">
        <v>477</v>
      </c>
      <c r="K84" s="94"/>
      <c r="L84" s="94"/>
      <c r="M84" s="94"/>
      <c r="O84" s="67">
        <f>(0.58+1.52)/2</f>
        <v>1.05</v>
      </c>
      <c r="P84" s="27" t="s">
        <v>475</v>
      </c>
    </row>
    <row r="85" spans="1:16" s="27" customFormat="1" ht="16.350000000000001" customHeight="1" x14ac:dyDescent="0.2">
      <c r="A85" s="42" t="s">
        <v>542</v>
      </c>
      <c r="B85" s="42">
        <v>2</v>
      </c>
      <c r="C85" s="42"/>
      <c r="D85" s="41" t="s">
        <v>329</v>
      </c>
      <c r="E85" s="41" t="s">
        <v>2</v>
      </c>
      <c r="F85" s="59">
        <v>751</v>
      </c>
      <c r="G85" s="59">
        <v>2000</v>
      </c>
      <c r="H85" s="60">
        <f>IF(H84="","",H84-(H84*0.1))</f>
        <v>7.2490500000000004</v>
      </c>
      <c r="I85" s="61">
        <v>0</v>
      </c>
      <c r="J85" s="94" t="s">
        <v>366</v>
      </c>
      <c r="K85" s="94"/>
      <c r="L85" s="94"/>
      <c r="M85" s="94"/>
    </row>
    <row r="86" spans="1:16" s="27" customFormat="1" ht="16.350000000000001" customHeight="1" x14ac:dyDescent="0.2">
      <c r="A86" s="42" t="s">
        <v>542</v>
      </c>
      <c r="B86" s="42">
        <v>2</v>
      </c>
      <c r="C86" s="42"/>
      <c r="D86" s="41" t="s">
        <v>329</v>
      </c>
      <c r="E86" s="41" t="s">
        <v>2</v>
      </c>
      <c r="F86" s="59">
        <v>2001</v>
      </c>
      <c r="G86" s="59">
        <v>999999</v>
      </c>
      <c r="H86" s="60">
        <f>IF(H85="","",H85-(H85*0.1))</f>
        <v>6.5241450000000007</v>
      </c>
      <c r="I86" s="61">
        <v>0</v>
      </c>
      <c r="J86" s="94" t="s">
        <v>366</v>
      </c>
      <c r="K86" s="94"/>
      <c r="L86" s="94"/>
      <c r="M86" s="94"/>
    </row>
    <row r="87" spans="1:16" s="27" customFormat="1" ht="16.350000000000001" customHeight="1" x14ac:dyDescent="0.2">
      <c r="A87" s="42" t="s">
        <v>542</v>
      </c>
      <c r="B87" s="42">
        <v>2</v>
      </c>
      <c r="C87" s="43">
        <f>+O82+O83*2+O84</f>
        <v>10.48</v>
      </c>
      <c r="D87" s="41" t="s">
        <v>330</v>
      </c>
      <c r="E87" s="41" t="s">
        <v>2</v>
      </c>
      <c r="F87" s="59">
        <v>0</v>
      </c>
      <c r="G87" s="59">
        <v>750</v>
      </c>
      <c r="H87" s="60">
        <f>+C87*$B$6*$L$5</f>
        <v>9.3272000000000013</v>
      </c>
      <c r="I87" s="61">
        <v>0</v>
      </c>
      <c r="J87" s="94" t="s">
        <v>478</v>
      </c>
      <c r="K87" s="94"/>
      <c r="L87" s="94"/>
      <c r="M87" s="94"/>
      <c r="O87" s="62"/>
    </row>
    <row r="88" spans="1:16" s="27" customFormat="1" ht="16.350000000000001" customHeight="1" x14ac:dyDescent="0.2">
      <c r="A88" s="42" t="s">
        <v>542</v>
      </c>
      <c r="B88" s="42">
        <v>2</v>
      </c>
      <c r="C88" s="42"/>
      <c r="D88" s="41" t="s">
        <v>330</v>
      </c>
      <c r="E88" s="41" t="s">
        <v>2</v>
      </c>
      <c r="F88" s="59">
        <v>751</v>
      </c>
      <c r="G88" s="59">
        <v>2000</v>
      </c>
      <c r="H88" s="60">
        <f>IF(H87="","",H87-(H87*0.1))</f>
        <v>8.3944800000000015</v>
      </c>
      <c r="I88" s="61">
        <v>0</v>
      </c>
      <c r="J88" s="94" t="s">
        <v>367</v>
      </c>
      <c r="K88" s="94"/>
      <c r="L88" s="94"/>
      <c r="M88" s="94"/>
    </row>
    <row r="89" spans="1:16" s="27" customFormat="1" ht="16.350000000000001" customHeight="1" x14ac:dyDescent="0.2">
      <c r="A89" s="42" t="s">
        <v>542</v>
      </c>
      <c r="B89" s="42">
        <v>2</v>
      </c>
      <c r="C89" s="42"/>
      <c r="D89" s="41" t="s">
        <v>330</v>
      </c>
      <c r="E89" s="41" t="s">
        <v>2</v>
      </c>
      <c r="F89" s="59">
        <v>2001</v>
      </c>
      <c r="G89" s="59">
        <v>999999</v>
      </c>
      <c r="H89" s="60">
        <f>IF(H88="","",H88-(H88*0.1))</f>
        <v>7.5550320000000015</v>
      </c>
      <c r="I89" s="61">
        <v>0</v>
      </c>
      <c r="J89" s="94" t="s">
        <v>367</v>
      </c>
      <c r="K89" s="94"/>
      <c r="L89" s="94"/>
      <c r="M89" s="94"/>
    </row>
    <row r="90" spans="1:16" s="27" customFormat="1" ht="16.350000000000001" customHeight="1" x14ac:dyDescent="0.2">
      <c r="A90" s="42" t="s">
        <v>542</v>
      </c>
      <c r="B90" s="42">
        <v>2</v>
      </c>
      <c r="C90" s="42">
        <v>1.6</v>
      </c>
      <c r="D90" s="41" t="s">
        <v>331</v>
      </c>
      <c r="E90" s="41" t="s">
        <v>2</v>
      </c>
      <c r="F90" s="59">
        <v>0</v>
      </c>
      <c r="G90" s="59">
        <v>999999</v>
      </c>
      <c r="H90" s="60">
        <f>+C90*$B$6*$L$5</f>
        <v>1.4240000000000002</v>
      </c>
      <c r="I90" s="61">
        <v>0</v>
      </c>
      <c r="J90" s="94" t="s">
        <v>340</v>
      </c>
      <c r="K90" s="94"/>
      <c r="L90" s="94"/>
      <c r="M90" s="94"/>
      <c r="O90" s="27" t="s">
        <v>489</v>
      </c>
    </row>
    <row r="91" spans="1:16" s="27" customFormat="1" ht="16.350000000000001" customHeight="1" x14ac:dyDescent="0.2">
      <c r="A91" s="42" t="s">
        <v>542</v>
      </c>
      <c r="B91" s="42">
        <v>2</v>
      </c>
      <c r="C91" s="43">
        <f>AVERAGE(C90,C92)</f>
        <v>1.9100000000000001</v>
      </c>
      <c r="D91" s="41" t="s">
        <v>491</v>
      </c>
      <c r="E91" s="41" t="s">
        <v>2</v>
      </c>
      <c r="F91" s="59">
        <v>0</v>
      </c>
      <c r="G91" s="59">
        <v>999999</v>
      </c>
      <c r="H91" s="60">
        <f>+C91*$B$6*$L$5</f>
        <v>1.6999000000000002</v>
      </c>
      <c r="I91" s="61">
        <v>0</v>
      </c>
      <c r="J91" s="94" t="s">
        <v>341</v>
      </c>
      <c r="K91" s="94"/>
      <c r="L91" s="94"/>
      <c r="M91" s="94"/>
    </row>
    <row r="92" spans="1:16" s="27" customFormat="1" ht="16.350000000000001" customHeight="1" x14ac:dyDescent="0.2">
      <c r="A92" s="42" t="s">
        <v>542</v>
      </c>
      <c r="B92" s="42">
        <v>2</v>
      </c>
      <c r="C92" s="42">
        <v>2.2200000000000002</v>
      </c>
      <c r="D92" s="41" t="s">
        <v>332</v>
      </c>
      <c r="E92" s="41" t="s">
        <v>2</v>
      </c>
      <c r="F92" s="59">
        <v>0</v>
      </c>
      <c r="G92" s="59">
        <v>999999</v>
      </c>
      <c r="H92" s="60">
        <f>+C92*$B$6*$L$5</f>
        <v>1.9758000000000002</v>
      </c>
      <c r="I92" s="61">
        <v>0</v>
      </c>
      <c r="J92" s="94" t="s">
        <v>342</v>
      </c>
      <c r="K92" s="94"/>
      <c r="L92" s="94"/>
      <c r="M92" s="94"/>
      <c r="O92" s="27" t="s">
        <v>490</v>
      </c>
    </row>
    <row r="93" spans="1:16" s="27" customFormat="1" ht="16.350000000000001" customHeight="1" x14ac:dyDescent="0.2">
      <c r="A93" s="42"/>
      <c r="B93" s="42"/>
      <c r="C93" s="42"/>
      <c r="D93" s="41" t="s">
        <v>1</v>
      </c>
      <c r="E93" s="41" t="s">
        <v>171</v>
      </c>
      <c r="F93" s="59">
        <v>0</v>
      </c>
      <c r="G93" s="59">
        <v>999999</v>
      </c>
      <c r="H93" s="60">
        <v>0</v>
      </c>
      <c r="I93" s="61">
        <v>0.2</v>
      </c>
      <c r="J93" s="94" t="s">
        <v>139</v>
      </c>
      <c r="K93" s="94"/>
      <c r="L93" s="94"/>
      <c r="M93" s="94"/>
    </row>
    <row r="94" spans="1:16" s="27" customFormat="1" ht="16.350000000000001" customHeight="1" x14ac:dyDescent="0.2">
      <c r="A94" s="42"/>
      <c r="B94" s="42"/>
      <c r="C94" s="42"/>
      <c r="D94" s="41" t="s">
        <v>1</v>
      </c>
      <c r="E94" s="41" t="s">
        <v>172</v>
      </c>
      <c r="F94" s="59">
        <v>0</v>
      </c>
      <c r="G94" s="59">
        <v>999999</v>
      </c>
      <c r="H94" s="60">
        <v>0</v>
      </c>
      <c r="I94" s="61">
        <v>0.4</v>
      </c>
      <c r="J94" s="94" t="s">
        <v>140</v>
      </c>
      <c r="K94" s="94"/>
      <c r="L94" s="94"/>
      <c r="M94" s="94"/>
    </row>
    <row r="95" spans="1:16" s="27" customFormat="1" ht="16.350000000000001" customHeight="1" x14ac:dyDescent="0.2">
      <c r="A95" s="42"/>
      <c r="B95" s="42"/>
      <c r="C95" s="42"/>
      <c r="D95" s="41" t="s">
        <v>1</v>
      </c>
      <c r="E95" s="41" t="s">
        <v>173</v>
      </c>
      <c r="F95" s="59">
        <v>0</v>
      </c>
      <c r="G95" s="59">
        <v>999999</v>
      </c>
      <c r="H95" s="60">
        <v>0</v>
      </c>
      <c r="I95" s="61">
        <v>0.6</v>
      </c>
      <c r="J95" s="94" t="s">
        <v>141</v>
      </c>
      <c r="K95" s="94"/>
      <c r="L95" s="94"/>
      <c r="M95" s="94"/>
    </row>
    <row r="96" spans="1:16" s="27" customFormat="1" ht="16.350000000000001" customHeight="1" x14ac:dyDescent="0.2">
      <c r="A96" s="42"/>
      <c r="B96" s="42"/>
      <c r="C96" s="42"/>
      <c r="D96" s="41" t="s">
        <v>1</v>
      </c>
      <c r="E96" s="41" t="s">
        <v>174</v>
      </c>
      <c r="F96" s="59">
        <v>0</v>
      </c>
      <c r="G96" s="59">
        <v>999999</v>
      </c>
      <c r="H96" s="60">
        <v>0</v>
      </c>
      <c r="I96" s="61">
        <v>0.8</v>
      </c>
      <c r="J96" s="94" t="s">
        <v>142</v>
      </c>
      <c r="K96" s="94"/>
      <c r="L96" s="94"/>
      <c r="M96" s="94"/>
    </row>
    <row r="97" spans="1:18" ht="16.350000000000001" customHeight="1" x14ac:dyDescent="0.2">
      <c r="A97" s="42"/>
      <c r="B97" s="42"/>
      <c r="C97" s="42"/>
      <c r="D97" s="41"/>
      <c r="E97" s="41"/>
      <c r="F97" s="59"/>
      <c r="G97" s="59"/>
      <c r="H97" s="60"/>
      <c r="I97" s="61"/>
      <c r="J97" s="68"/>
      <c r="K97" s="69"/>
      <c r="L97" s="69"/>
      <c r="M97" s="70"/>
      <c r="N97" s="27"/>
      <c r="O97" s="27"/>
      <c r="P97" s="27"/>
      <c r="Q97" s="27"/>
      <c r="R97" s="27"/>
    </row>
    <row r="98" spans="1:18" ht="16.350000000000001" customHeight="1" x14ac:dyDescent="0.2">
      <c r="A98" s="42"/>
      <c r="B98" s="42"/>
      <c r="C98" s="42"/>
      <c r="D98" s="41"/>
      <c r="E98" s="41"/>
      <c r="F98" s="59"/>
      <c r="G98" s="59"/>
      <c r="H98" s="60"/>
      <c r="I98" s="61"/>
      <c r="J98" s="68"/>
      <c r="K98" s="69"/>
      <c r="L98" s="69"/>
      <c r="M98" s="70"/>
      <c r="N98" s="27"/>
      <c r="O98" s="27"/>
      <c r="P98" s="27"/>
      <c r="Q98" s="27"/>
      <c r="R98" s="27"/>
    </row>
    <row r="99" spans="1:18" ht="16.350000000000001" customHeight="1" x14ac:dyDescent="0.2">
      <c r="A99" s="55" t="s">
        <v>389</v>
      </c>
      <c r="B99" s="55" t="s">
        <v>390</v>
      </c>
      <c r="C99" s="55" t="s">
        <v>391</v>
      </c>
      <c r="D99" s="56" t="s">
        <v>2</v>
      </c>
      <c r="E99" s="55" t="s">
        <v>334</v>
      </c>
      <c r="F99" s="66" t="s">
        <v>333</v>
      </c>
      <c r="G99" s="66" t="s">
        <v>333</v>
      </c>
      <c r="H99" s="57" t="s">
        <v>335</v>
      </c>
      <c r="I99" s="58" t="s">
        <v>336</v>
      </c>
      <c r="J99" s="95" t="s">
        <v>0</v>
      </c>
      <c r="K99" s="95"/>
      <c r="L99" s="95"/>
      <c r="M99" s="95"/>
      <c r="N99" s="27"/>
      <c r="O99" s="27"/>
      <c r="P99" s="27"/>
      <c r="Q99" s="27"/>
      <c r="R99" s="27"/>
    </row>
    <row r="100" spans="1:18" ht="16.350000000000001" customHeight="1" x14ac:dyDescent="0.2">
      <c r="A100" s="42"/>
      <c r="B100" s="42"/>
      <c r="C100" s="42"/>
      <c r="D100" s="41" t="s">
        <v>1</v>
      </c>
      <c r="E100" s="41" t="s">
        <v>5</v>
      </c>
      <c r="F100" s="59">
        <v>0</v>
      </c>
      <c r="G100" s="59">
        <v>999999</v>
      </c>
      <c r="H100" s="60">
        <v>0</v>
      </c>
      <c r="I100" s="61">
        <v>0.4</v>
      </c>
      <c r="J100" s="101" t="s">
        <v>14</v>
      </c>
      <c r="K100" s="102"/>
      <c r="L100" s="102"/>
      <c r="M100" s="103"/>
      <c r="N100" s="27"/>
      <c r="O100" s="27"/>
      <c r="P100" s="27"/>
      <c r="Q100" s="27"/>
      <c r="R100" s="27"/>
    </row>
    <row r="101" spans="1:18" ht="16.350000000000001" customHeight="1" x14ac:dyDescent="0.2">
      <c r="A101" s="42"/>
      <c r="B101" s="42"/>
      <c r="C101" s="42"/>
      <c r="D101" s="41" t="s">
        <v>1</v>
      </c>
      <c r="E101" s="41" t="s">
        <v>6</v>
      </c>
      <c r="F101" s="59">
        <v>0</v>
      </c>
      <c r="G101" s="59">
        <v>999999</v>
      </c>
      <c r="H101" s="60">
        <v>0</v>
      </c>
      <c r="I101" s="61">
        <v>0.35</v>
      </c>
      <c r="J101" s="94" t="s">
        <v>15</v>
      </c>
      <c r="K101" s="94"/>
      <c r="L101" s="94"/>
      <c r="M101" s="94"/>
      <c r="N101" s="27"/>
      <c r="O101" s="27"/>
      <c r="P101" s="27"/>
      <c r="Q101" s="27"/>
      <c r="R101" s="27"/>
    </row>
    <row r="102" spans="1:18" ht="16.350000000000001" customHeight="1" x14ac:dyDescent="0.2">
      <c r="A102" s="42"/>
      <c r="B102" s="42"/>
      <c r="C102" s="42"/>
      <c r="D102" s="41" t="s">
        <v>1</v>
      </c>
      <c r="E102" s="41" t="s">
        <v>3</v>
      </c>
      <c r="F102" s="59">
        <v>0</v>
      </c>
      <c r="G102" s="59">
        <v>999999</v>
      </c>
      <c r="H102" s="60">
        <v>0</v>
      </c>
      <c r="I102" s="61">
        <v>0.3</v>
      </c>
      <c r="J102" s="94" t="s">
        <v>12</v>
      </c>
      <c r="K102" s="94"/>
      <c r="L102" s="94"/>
      <c r="M102" s="94"/>
      <c r="N102" s="27"/>
      <c r="O102" s="27"/>
      <c r="P102" s="27"/>
      <c r="Q102" s="27"/>
      <c r="R102" s="27"/>
    </row>
    <row r="103" spans="1:18" ht="16.350000000000001" customHeight="1" x14ac:dyDescent="0.2">
      <c r="A103" s="42"/>
      <c r="B103" s="42"/>
      <c r="C103" s="42"/>
      <c r="D103" s="41" t="s">
        <v>1</v>
      </c>
      <c r="E103" s="41" t="s">
        <v>4</v>
      </c>
      <c r="F103" s="59">
        <v>0</v>
      </c>
      <c r="G103" s="59">
        <v>999999</v>
      </c>
      <c r="H103" s="60">
        <v>0</v>
      </c>
      <c r="I103" s="61">
        <v>0.25</v>
      </c>
      <c r="J103" s="94" t="s">
        <v>13</v>
      </c>
      <c r="K103" s="94"/>
      <c r="L103" s="94"/>
      <c r="M103" s="94"/>
      <c r="N103" s="27"/>
      <c r="O103" s="27"/>
      <c r="P103" s="27"/>
      <c r="Q103" s="27"/>
      <c r="R103" s="27"/>
    </row>
    <row r="104" spans="1:18" ht="16.350000000000001" customHeight="1" x14ac:dyDescent="0.2">
      <c r="A104" s="42"/>
      <c r="B104" s="42"/>
      <c r="C104" s="42"/>
      <c r="D104" s="41" t="s">
        <v>1</v>
      </c>
      <c r="E104" s="41" t="s">
        <v>37</v>
      </c>
      <c r="F104" s="59">
        <v>0</v>
      </c>
      <c r="G104" s="59">
        <v>999999</v>
      </c>
      <c r="H104" s="60">
        <v>0</v>
      </c>
      <c r="I104" s="61">
        <v>0.2</v>
      </c>
      <c r="J104" s="94" t="s">
        <v>36</v>
      </c>
      <c r="K104" s="94"/>
      <c r="L104" s="94"/>
      <c r="M104" s="94"/>
      <c r="N104" s="27"/>
      <c r="O104" s="27"/>
      <c r="P104" s="27"/>
      <c r="Q104" s="27"/>
      <c r="R104" s="27"/>
    </row>
    <row r="105" spans="1:18" ht="16.350000000000001" customHeight="1" x14ac:dyDescent="0.2">
      <c r="A105" s="42"/>
      <c r="B105" s="42"/>
      <c r="C105" s="42"/>
      <c r="D105" s="41" t="s">
        <v>1</v>
      </c>
      <c r="E105" s="41" t="s">
        <v>79</v>
      </c>
      <c r="F105" s="59">
        <v>0</v>
      </c>
      <c r="G105" s="59">
        <v>999999</v>
      </c>
      <c r="H105" s="60">
        <v>0</v>
      </c>
      <c r="I105" s="61">
        <v>0.6</v>
      </c>
      <c r="J105" s="94" t="s">
        <v>136</v>
      </c>
      <c r="K105" s="94"/>
      <c r="L105" s="94"/>
      <c r="M105" s="94"/>
      <c r="N105" s="27"/>
      <c r="O105" s="27"/>
      <c r="P105" s="27"/>
      <c r="Q105" s="27"/>
      <c r="R105" s="27"/>
    </row>
    <row r="106" spans="1:18" ht="16.350000000000001" customHeight="1" x14ac:dyDescent="0.2">
      <c r="A106" s="42"/>
      <c r="B106" s="42"/>
      <c r="C106" s="42"/>
      <c r="D106" s="41" t="s">
        <v>1</v>
      </c>
      <c r="E106" s="41" t="s">
        <v>80</v>
      </c>
      <c r="F106" s="59">
        <v>0</v>
      </c>
      <c r="G106" s="59">
        <v>999999</v>
      </c>
      <c r="H106" s="60">
        <v>0</v>
      </c>
      <c r="I106" s="61">
        <v>0.8</v>
      </c>
      <c r="J106" s="94" t="s">
        <v>137</v>
      </c>
      <c r="K106" s="94"/>
      <c r="L106" s="94"/>
      <c r="M106" s="94"/>
      <c r="N106" s="27"/>
      <c r="O106" s="27"/>
      <c r="P106" s="27"/>
      <c r="Q106" s="27"/>
      <c r="R106" s="27"/>
    </row>
    <row r="107" spans="1:18" ht="16.350000000000001" customHeight="1" x14ac:dyDescent="0.2">
      <c r="A107" s="42"/>
      <c r="B107" s="42"/>
      <c r="C107" s="42"/>
      <c r="D107" s="41" t="s">
        <v>1</v>
      </c>
      <c r="E107" s="41" t="s">
        <v>81</v>
      </c>
      <c r="F107" s="59">
        <v>0</v>
      </c>
      <c r="G107" s="59">
        <v>999999</v>
      </c>
      <c r="H107" s="60">
        <v>0</v>
      </c>
      <c r="I107" s="61">
        <v>0.4</v>
      </c>
      <c r="J107" s="94" t="s">
        <v>138</v>
      </c>
      <c r="K107" s="94"/>
      <c r="L107" s="94"/>
      <c r="M107" s="94"/>
      <c r="N107" s="27"/>
      <c r="O107" s="27"/>
      <c r="P107" s="27"/>
      <c r="Q107" s="27"/>
      <c r="R107" s="27"/>
    </row>
    <row r="108" spans="1:18" ht="16.350000000000001" customHeight="1" x14ac:dyDescent="0.2">
      <c r="D108" s="27"/>
      <c r="E108" s="27"/>
      <c r="F108" s="64"/>
      <c r="G108" s="64"/>
      <c r="H108" s="65"/>
      <c r="I108" s="26"/>
      <c r="J108" s="54"/>
      <c r="K108" s="54"/>
      <c r="L108" s="54"/>
      <c r="M108" s="54"/>
      <c r="N108" s="27"/>
      <c r="O108" s="27"/>
      <c r="P108" s="27"/>
      <c r="Q108" s="27"/>
      <c r="R108" s="27"/>
    </row>
    <row r="109" spans="1:18" ht="16.350000000000001" customHeight="1" x14ac:dyDescent="0.2">
      <c r="D109" s="27"/>
      <c r="E109" s="27"/>
      <c r="F109" s="64"/>
      <c r="G109" s="64"/>
      <c r="H109" s="65"/>
      <c r="I109" s="26"/>
      <c r="J109" s="54"/>
      <c r="K109" s="54"/>
      <c r="L109" s="54"/>
      <c r="M109" s="54"/>
      <c r="N109" s="27"/>
      <c r="O109" s="27"/>
      <c r="P109" s="27"/>
      <c r="Q109" s="27"/>
      <c r="R109" s="27"/>
    </row>
    <row r="110" spans="1:18" ht="16.350000000000001" customHeight="1" x14ac:dyDescent="0.2">
      <c r="A110" s="55" t="s">
        <v>389</v>
      </c>
      <c r="B110" s="55" t="s">
        <v>390</v>
      </c>
      <c r="C110" s="55" t="s">
        <v>391</v>
      </c>
      <c r="D110" s="56" t="s">
        <v>2</v>
      </c>
      <c r="E110" s="55" t="s">
        <v>334</v>
      </c>
      <c r="F110" s="66" t="s">
        <v>333</v>
      </c>
      <c r="G110" s="66" t="s">
        <v>333</v>
      </c>
      <c r="H110" s="57" t="s">
        <v>335</v>
      </c>
      <c r="I110" s="58" t="s">
        <v>336</v>
      </c>
      <c r="J110" s="95" t="s">
        <v>0</v>
      </c>
      <c r="K110" s="95"/>
      <c r="L110" s="95"/>
      <c r="M110" s="95"/>
      <c r="N110" s="27"/>
      <c r="O110" s="27"/>
      <c r="P110" s="27"/>
      <c r="Q110" s="27"/>
      <c r="R110" s="27"/>
    </row>
    <row r="111" spans="1:18" ht="16.350000000000001" customHeight="1" x14ac:dyDescent="0.2">
      <c r="A111" s="42">
        <v>17</v>
      </c>
      <c r="B111" s="42">
        <v>30</v>
      </c>
      <c r="C111" s="42">
        <f>(Q117+'BLDG COMMENT'!$B$111)*1.844</f>
        <v>61.774000000000001</v>
      </c>
      <c r="D111" s="41" t="s">
        <v>1</v>
      </c>
      <c r="E111" s="41" t="s">
        <v>610</v>
      </c>
      <c r="F111" s="59">
        <v>0</v>
      </c>
      <c r="G111" s="59">
        <v>499</v>
      </c>
      <c r="H111" s="60">
        <f>((C111+$C$11+$B$29)*($B$5*$I$5)+24.15)</f>
        <v>81.476448599999998</v>
      </c>
      <c r="I111" s="61">
        <v>0</v>
      </c>
      <c r="J111" s="105" t="s">
        <v>598</v>
      </c>
      <c r="K111" s="106"/>
      <c r="L111" s="106"/>
      <c r="M111" s="107"/>
      <c r="N111" s="27"/>
      <c r="O111" s="27" t="s">
        <v>594</v>
      </c>
      <c r="P111" s="27"/>
      <c r="Q111" s="27"/>
      <c r="R111" s="27"/>
    </row>
    <row r="112" spans="1:18" ht="16.350000000000001" customHeight="1" x14ac:dyDescent="0.25">
      <c r="A112" s="42">
        <v>17</v>
      </c>
      <c r="B112" s="42">
        <v>30</v>
      </c>
      <c r="C112" s="42">
        <f>(Q117+'BLDG COMMENT'!$B$111)*1.489</f>
        <v>49.881500000000003</v>
      </c>
      <c r="D112" s="41" t="s">
        <v>1</v>
      </c>
      <c r="E112" s="41" t="s">
        <v>610</v>
      </c>
      <c r="F112" s="59">
        <v>500</v>
      </c>
      <c r="G112" s="59">
        <f>+F113-1</f>
        <v>749</v>
      </c>
      <c r="H112" s="60">
        <f>((C112+$C$11+$B$29)*($B$5*$I$5)+24.15)</f>
        <v>70.786280349999998</v>
      </c>
      <c r="I112" s="61">
        <v>0</v>
      </c>
      <c r="J112" s="108"/>
      <c r="K112" s="109"/>
      <c r="L112" s="109"/>
      <c r="M112" s="110"/>
      <c r="N112" s="27"/>
      <c r="O112" s="27" t="s">
        <v>586</v>
      </c>
      <c r="P112" s="27"/>
    </row>
    <row r="113" spans="1:18" ht="16.350000000000001" customHeight="1" x14ac:dyDescent="0.2">
      <c r="A113" s="42">
        <v>17</v>
      </c>
      <c r="B113" s="42">
        <v>30</v>
      </c>
      <c r="C113" s="42">
        <f>(Q117+'BLDG COMMENT'!$B$111)*1.311</f>
        <v>43.918499999999995</v>
      </c>
      <c r="D113" s="41" t="s">
        <v>1</v>
      </c>
      <c r="E113" s="41" t="s">
        <v>610</v>
      </c>
      <c r="F113" s="59">
        <v>750</v>
      </c>
      <c r="G113" s="59">
        <f t="shared" ref="G113:G119" si="1">+F114-1</f>
        <v>999</v>
      </c>
      <c r="H113" s="60">
        <f t="shared" ref="H113:H120" si="2">((C113+$C$11+$B$29)*($B$5*$I$5)+24.15)</f>
        <v>65.426139649999996</v>
      </c>
      <c r="I113" s="61">
        <v>0</v>
      </c>
      <c r="J113" s="108"/>
      <c r="K113" s="109"/>
      <c r="L113" s="109"/>
      <c r="M113" s="110"/>
      <c r="N113" s="27"/>
      <c r="O113" s="27" t="s">
        <v>614</v>
      </c>
      <c r="P113" s="27" t="s">
        <v>583</v>
      </c>
      <c r="Q113" s="62">
        <f>+Q115*2.085</f>
        <v>69.326250000000002</v>
      </c>
      <c r="R113" s="27">
        <v>6</v>
      </c>
    </row>
    <row r="114" spans="1:18" ht="16.350000000000001" customHeight="1" x14ac:dyDescent="0.2">
      <c r="A114" s="42">
        <v>17</v>
      </c>
      <c r="B114" s="42">
        <v>30</v>
      </c>
      <c r="C114" s="42">
        <f>(Q117+'BLDG COMMENT'!$B$111)*1.133</f>
        <v>37.955500000000001</v>
      </c>
      <c r="D114" s="41" t="s">
        <v>1</v>
      </c>
      <c r="E114" s="41" t="s">
        <v>610</v>
      </c>
      <c r="F114" s="59">
        <v>1000</v>
      </c>
      <c r="G114" s="59">
        <f t="shared" si="1"/>
        <v>1499</v>
      </c>
      <c r="H114" s="60">
        <f t="shared" si="2"/>
        <v>60.065998950000001</v>
      </c>
      <c r="I114" s="61">
        <v>0</v>
      </c>
      <c r="J114" s="108"/>
      <c r="K114" s="109"/>
      <c r="L114" s="109"/>
      <c r="M114" s="110"/>
      <c r="N114" s="27"/>
      <c r="O114" s="27"/>
      <c r="P114" s="27" t="s">
        <v>584</v>
      </c>
      <c r="Q114" s="27">
        <v>46</v>
      </c>
      <c r="R114" s="27">
        <v>5</v>
      </c>
    </row>
    <row r="115" spans="1:18" ht="16.350000000000001" customHeight="1" x14ac:dyDescent="0.2">
      <c r="A115" s="42">
        <v>17</v>
      </c>
      <c r="B115" s="42">
        <v>30</v>
      </c>
      <c r="C115" s="42">
        <f>(Q117+'BLDG COMMENT'!$B$111)*1.044</f>
        <v>34.974000000000004</v>
      </c>
      <c r="D115" s="41" t="s">
        <v>1</v>
      </c>
      <c r="E115" s="41" t="s">
        <v>610</v>
      </c>
      <c r="F115" s="59">
        <v>1500</v>
      </c>
      <c r="G115" s="59">
        <f t="shared" si="1"/>
        <v>1999</v>
      </c>
      <c r="H115" s="60">
        <f t="shared" si="2"/>
        <v>57.3859286</v>
      </c>
      <c r="I115" s="61">
        <v>0</v>
      </c>
      <c r="J115" s="71"/>
      <c r="K115" s="54"/>
      <c r="L115" s="54"/>
      <c r="M115" s="72"/>
      <c r="N115" s="27"/>
      <c r="O115" s="27" t="s">
        <v>615</v>
      </c>
      <c r="P115" s="27" t="s">
        <v>585</v>
      </c>
      <c r="Q115" s="27">
        <v>33.25</v>
      </c>
      <c r="R115" s="27">
        <v>4</v>
      </c>
    </row>
    <row r="116" spans="1:18" ht="16.350000000000001" customHeight="1" x14ac:dyDescent="0.2">
      <c r="A116" s="42">
        <v>17</v>
      </c>
      <c r="B116" s="42">
        <v>30</v>
      </c>
      <c r="C116" s="42">
        <f>(Q117+'BLDG COMMENT'!$B$111)*0.991</f>
        <v>33.198500000000003</v>
      </c>
      <c r="D116" s="41" t="s">
        <v>1</v>
      </c>
      <c r="E116" s="41" t="s">
        <v>610</v>
      </c>
      <c r="F116" s="59">
        <v>2000</v>
      </c>
      <c r="G116" s="59">
        <f t="shared" si="1"/>
        <v>2499</v>
      </c>
      <c r="H116" s="60">
        <f t="shared" si="2"/>
        <v>55.78993165</v>
      </c>
      <c r="I116" s="61">
        <v>0</v>
      </c>
      <c r="J116" s="71"/>
      <c r="K116" s="54"/>
      <c r="L116" s="54"/>
      <c r="M116" s="72"/>
      <c r="N116" s="27"/>
      <c r="O116" s="27"/>
      <c r="P116" s="27" t="s">
        <v>503</v>
      </c>
      <c r="Q116" s="27">
        <v>24.15</v>
      </c>
      <c r="R116" s="27">
        <v>3</v>
      </c>
    </row>
    <row r="117" spans="1:18" ht="16.350000000000001" customHeight="1" x14ac:dyDescent="0.2">
      <c r="A117" s="42">
        <v>17</v>
      </c>
      <c r="B117" s="42">
        <v>30</v>
      </c>
      <c r="C117" s="42">
        <f>(Q117+'BLDG COMMENT'!$B$111)*0.995</f>
        <v>33.332500000000003</v>
      </c>
      <c r="D117" s="41" t="s">
        <v>1</v>
      </c>
      <c r="E117" s="41" t="s">
        <v>610</v>
      </c>
      <c r="F117" s="59">
        <v>2500</v>
      </c>
      <c r="G117" s="59">
        <f t="shared" si="1"/>
        <v>2999</v>
      </c>
      <c r="H117" s="60">
        <f t="shared" si="2"/>
        <v>55.910384250000007</v>
      </c>
      <c r="I117" s="61">
        <v>0</v>
      </c>
      <c r="J117" s="71"/>
      <c r="K117" s="54"/>
      <c r="L117" s="54"/>
      <c r="M117" s="72"/>
      <c r="N117" s="27"/>
      <c r="O117" s="73" t="s">
        <v>616</v>
      </c>
      <c r="P117" s="27"/>
      <c r="Q117" s="27"/>
      <c r="R117" s="73"/>
    </row>
    <row r="118" spans="1:18" ht="16.350000000000001" customHeight="1" x14ac:dyDescent="0.2">
      <c r="A118" s="42">
        <v>17</v>
      </c>
      <c r="B118" s="42">
        <v>30</v>
      </c>
      <c r="C118" s="42">
        <f>(Q117+'BLDG COMMENT'!$B$111)*0.931</f>
        <v>31.188500000000001</v>
      </c>
      <c r="D118" s="41" t="s">
        <v>1</v>
      </c>
      <c r="E118" s="41" t="s">
        <v>610</v>
      </c>
      <c r="F118" s="59">
        <v>3000</v>
      </c>
      <c r="G118" s="59">
        <f t="shared" si="1"/>
        <v>3499</v>
      </c>
      <c r="H118" s="60">
        <f t="shared" si="2"/>
        <v>53.983142650000005</v>
      </c>
      <c r="I118" s="61">
        <v>0</v>
      </c>
      <c r="J118" s="71"/>
      <c r="K118" s="54"/>
      <c r="L118" s="54"/>
      <c r="M118" s="72"/>
      <c r="N118" s="27"/>
      <c r="O118" s="27"/>
      <c r="P118" s="27"/>
      <c r="Q118" s="27"/>
      <c r="R118" s="27"/>
    </row>
    <row r="119" spans="1:18" ht="16.350000000000001" customHeight="1" x14ac:dyDescent="0.2">
      <c r="A119" s="42">
        <v>17</v>
      </c>
      <c r="B119" s="42">
        <v>30</v>
      </c>
      <c r="C119" s="42">
        <f>(Q117+'BLDG COMMENT'!$B$111)*0.911</f>
        <v>30.5185</v>
      </c>
      <c r="D119" s="41" t="s">
        <v>1</v>
      </c>
      <c r="E119" s="41" t="s">
        <v>610</v>
      </c>
      <c r="F119" s="59">
        <v>3500</v>
      </c>
      <c r="G119" s="59">
        <f t="shared" si="1"/>
        <v>3999</v>
      </c>
      <c r="H119" s="60">
        <f t="shared" si="2"/>
        <v>53.380879649999997</v>
      </c>
      <c r="I119" s="61">
        <v>0</v>
      </c>
      <c r="J119" s="71"/>
      <c r="K119" s="54"/>
      <c r="L119" s="54"/>
      <c r="M119" s="72"/>
      <c r="N119" s="27"/>
      <c r="O119" s="27"/>
      <c r="P119" s="27"/>
      <c r="Q119" s="27"/>
      <c r="R119" s="27"/>
    </row>
    <row r="120" spans="1:18" ht="16.350000000000001" customHeight="1" x14ac:dyDescent="0.2">
      <c r="A120" s="42">
        <v>17</v>
      </c>
      <c r="B120" s="42">
        <v>30</v>
      </c>
      <c r="C120" s="42">
        <f>(Q117+'BLDG COMMENT'!$B$111)*0.884</f>
        <v>29.614000000000001</v>
      </c>
      <c r="D120" s="41" t="s">
        <v>1</v>
      </c>
      <c r="E120" s="41" t="s">
        <v>610</v>
      </c>
      <c r="F120" s="59">
        <v>4000</v>
      </c>
      <c r="G120" s="59">
        <v>999999</v>
      </c>
      <c r="H120" s="60">
        <f t="shared" si="2"/>
        <v>52.567824600000002</v>
      </c>
      <c r="I120" s="61">
        <v>0</v>
      </c>
      <c r="J120" s="74"/>
      <c r="K120" s="75"/>
      <c r="L120" s="75"/>
      <c r="M120" s="76"/>
      <c r="N120" s="27"/>
      <c r="O120" s="27"/>
      <c r="P120" s="27"/>
      <c r="Q120" s="27"/>
      <c r="R120" s="27"/>
    </row>
    <row r="121" spans="1:18" ht="16.350000000000001" customHeight="1" x14ac:dyDescent="0.2">
      <c r="A121" s="42">
        <v>17</v>
      </c>
      <c r="B121" s="42">
        <v>30</v>
      </c>
      <c r="C121" s="42">
        <f>(Q115+'BLDG COMMENT'!$B$111)*1.844</f>
        <v>123.087</v>
      </c>
      <c r="D121" s="41" t="s">
        <v>1</v>
      </c>
      <c r="E121" s="41" t="s">
        <v>611</v>
      </c>
      <c r="F121" s="59">
        <v>0</v>
      </c>
      <c r="G121" s="59">
        <v>499</v>
      </c>
      <c r="H121" s="60">
        <f>((C121+$C$11+$B$29)*($B$5*$I$5)+33.25)</f>
        <v>145.69070429999999</v>
      </c>
      <c r="I121" s="61">
        <v>0</v>
      </c>
      <c r="J121" s="105" t="s">
        <v>597</v>
      </c>
      <c r="K121" s="106"/>
      <c r="L121" s="106"/>
      <c r="M121" s="107"/>
      <c r="N121" s="27"/>
      <c r="O121" s="27"/>
      <c r="P121" s="27"/>
      <c r="Q121" s="27"/>
      <c r="R121" s="27"/>
    </row>
    <row r="122" spans="1:18" ht="16.350000000000001" customHeight="1" x14ac:dyDescent="0.2">
      <c r="A122" s="42">
        <v>17</v>
      </c>
      <c r="B122" s="42">
        <v>30</v>
      </c>
      <c r="C122" s="42">
        <f>(Q115+'BLDG COMMENT'!$B$111)*1.489</f>
        <v>99.390750000000011</v>
      </c>
      <c r="D122" s="41" t="s">
        <v>1</v>
      </c>
      <c r="E122" s="41" t="s">
        <v>611</v>
      </c>
      <c r="F122" s="59">
        <v>500</v>
      </c>
      <c r="G122" s="59">
        <f>+F123-1</f>
        <v>749</v>
      </c>
      <c r="H122" s="60">
        <f>((C122+$C$11+$B$29)*($B$5*$I$5)+33.25)</f>
        <v>124.39014517500001</v>
      </c>
      <c r="I122" s="61">
        <v>0</v>
      </c>
      <c r="J122" s="108"/>
      <c r="K122" s="109"/>
      <c r="L122" s="109"/>
      <c r="M122" s="110"/>
      <c r="N122" s="27"/>
      <c r="O122" s="27"/>
      <c r="P122" s="27"/>
      <c r="Q122" s="27"/>
      <c r="R122" s="27"/>
    </row>
    <row r="123" spans="1:18" ht="16.350000000000001" customHeight="1" x14ac:dyDescent="0.2">
      <c r="A123" s="42">
        <v>17</v>
      </c>
      <c r="B123" s="42">
        <v>30</v>
      </c>
      <c r="C123" s="42">
        <f>(Q115+'BLDG COMMENT'!$B$111)*1.311</f>
        <v>87.509249999999994</v>
      </c>
      <c r="D123" s="41" t="s">
        <v>1</v>
      </c>
      <c r="E123" s="41" t="s">
        <v>611</v>
      </c>
      <c r="F123" s="59">
        <v>750</v>
      </c>
      <c r="G123" s="59">
        <f t="shared" ref="G123:G129" si="3">+F124-1</f>
        <v>999</v>
      </c>
      <c r="H123" s="60">
        <f t="shared" ref="H123:H130" si="4">((C123+$C$11+$B$29)*($B$5*$I$5)+33.25)</f>
        <v>113.709864825</v>
      </c>
      <c r="I123" s="61">
        <v>0</v>
      </c>
      <c r="J123" s="108"/>
      <c r="K123" s="109"/>
      <c r="L123" s="109"/>
      <c r="M123" s="110"/>
      <c r="N123" s="27"/>
      <c r="O123" s="27"/>
      <c r="P123" s="27"/>
      <c r="Q123" s="27"/>
      <c r="R123" s="27"/>
    </row>
    <row r="124" spans="1:18" ht="16.350000000000001" customHeight="1" x14ac:dyDescent="0.2">
      <c r="A124" s="42">
        <v>17</v>
      </c>
      <c r="B124" s="42">
        <v>30</v>
      </c>
      <c r="C124" s="42">
        <f>(Q115+'BLDG COMMENT'!$B$111)*1.133</f>
        <v>75.627750000000006</v>
      </c>
      <c r="D124" s="41" t="s">
        <v>1</v>
      </c>
      <c r="E124" s="41" t="s">
        <v>611</v>
      </c>
      <c r="F124" s="59">
        <v>1000</v>
      </c>
      <c r="G124" s="59">
        <f t="shared" si="3"/>
        <v>1499</v>
      </c>
      <c r="H124" s="60">
        <f t="shared" si="4"/>
        <v>103.02958447500001</v>
      </c>
      <c r="I124" s="61">
        <v>0</v>
      </c>
      <c r="J124" s="108"/>
      <c r="K124" s="109"/>
      <c r="L124" s="109"/>
      <c r="M124" s="110"/>
      <c r="N124" s="27"/>
      <c r="O124" s="27"/>
      <c r="P124" s="27"/>
      <c r="Q124" s="27"/>
      <c r="R124" s="27"/>
    </row>
    <row r="125" spans="1:18" ht="16.350000000000001" customHeight="1" x14ac:dyDescent="0.2">
      <c r="A125" s="42">
        <v>17</v>
      </c>
      <c r="B125" s="42">
        <v>30</v>
      </c>
      <c r="C125" s="42">
        <f>(Q115+'BLDG COMMENT'!$B$111)*1.044</f>
        <v>69.686999999999998</v>
      </c>
      <c r="D125" s="41" t="s">
        <v>1</v>
      </c>
      <c r="E125" s="41" t="s">
        <v>611</v>
      </c>
      <c r="F125" s="59">
        <v>1500</v>
      </c>
      <c r="G125" s="59">
        <f t="shared" si="3"/>
        <v>1999</v>
      </c>
      <c r="H125" s="60">
        <f t="shared" si="4"/>
        <v>97.689444300000005</v>
      </c>
      <c r="I125" s="61">
        <v>0</v>
      </c>
      <c r="J125" s="71"/>
      <c r="K125" s="54"/>
      <c r="L125" s="54"/>
      <c r="M125" s="72"/>
      <c r="N125" s="27"/>
      <c r="O125" s="27"/>
      <c r="P125" s="27"/>
      <c r="Q125" s="27"/>
      <c r="R125" s="27"/>
    </row>
    <row r="126" spans="1:18" ht="16.350000000000001" customHeight="1" x14ac:dyDescent="0.2">
      <c r="A126" s="42">
        <v>17</v>
      </c>
      <c r="B126" s="42">
        <v>30</v>
      </c>
      <c r="C126" s="42">
        <f>(Q115+'BLDG COMMENT'!$B$111)*0.991</f>
        <v>66.149249999999995</v>
      </c>
      <c r="D126" s="41" t="s">
        <v>1</v>
      </c>
      <c r="E126" s="41" t="s">
        <v>611</v>
      </c>
      <c r="F126" s="59">
        <v>2000</v>
      </c>
      <c r="G126" s="59">
        <f t="shared" si="3"/>
        <v>2499</v>
      </c>
      <c r="H126" s="60">
        <f t="shared" si="4"/>
        <v>94.509360824999987</v>
      </c>
      <c r="I126" s="61">
        <v>0</v>
      </c>
      <c r="J126" s="71"/>
      <c r="K126" s="54"/>
      <c r="L126" s="54"/>
      <c r="M126" s="72"/>
      <c r="N126" s="27"/>
      <c r="O126" s="27"/>
      <c r="P126" s="27"/>
      <c r="Q126" s="27"/>
      <c r="R126" s="27"/>
    </row>
    <row r="127" spans="1:18" ht="16.350000000000001" customHeight="1" x14ac:dyDescent="0.2">
      <c r="A127" s="42">
        <v>17</v>
      </c>
      <c r="B127" s="42">
        <v>30</v>
      </c>
      <c r="C127" s="42">
        <f>(Q115+'BLDG COMMENT'!$B$111)*0.995</f>
        <v>66.416250000000005</v>
      </c>
      <c r="D127" s="41" t="s">
        <v>1</v>
      </c>
      <c r="E127" s="41" t="s">
        <v>611</v>
      </c>
      <c r="F127" s="59">
        <v>2500</v>
      </c>
      <c r="G127" s="59">
        <f t="shared" si="3"/>
        <v>2999</v>
      </c>
      <c r="H127" s="60">
        <f t="shared" si="4"/>
        <v>94.749367125000006</v>
      </c>
      <c r="I127" s="61">
        <v>0</v>
      </c>
      <c r="J127" s="71"/>
      <c r="K127" s="54"/>
      <c r="L127" s="54"/>
      <c r="M127" s="72"/>
      <c r="N127" s="27"/>
      <c r="O127" s="27"/>
      <c r="P127" s="27"/>
      <c r="Q127" s="27"/>
      <c r="R127" s="27"/>
    </row>
    <row r="128" spans="1:18" ht="16.350000000000001" customHeight="1" x14ac:dyDescent="0.2">
      <c r="A128" s="42">
        <v>17</v>
      </c>
      <c r="B128" s="42">
        <v>30</v>
      </c>
      <c r="C128" s="42">
        <f>(Q115+'BLDG COMMENT'!$B$111)*0.931</f>
        <v>62.144250000000007</v>
      </c>
      <c r="D128" s="41" t="s">
        <v>1</v>
      </c>
      <c r="E128" s="41" t="s">
        <v>611</v>
      </c>
      <c r="F128" s="59">
        <v>3000</v>
      </c>
      <c r="G128" s="59">
        <f t="shared" si="3"/>
        <v>3499</v>
      </c>
      <c r="H128" s="60">
        <f t="shared" si="4"/>
        <v>90.909266325000004</v>
      </c>
      <c r="I128" s="61">
        <v>0</v>
      </c>
      <c r="J128" s="71"/>
      <c r="K128" s="54"/>
      <c r="L128" s="54"/>
      <c r="M128" s="72"/>
      <c r="N128" s="27"/>
      <c r="O128" s="27"/>
      <c r="P128" s="27"/>
      <c r="Q128" s="27"/>
      <c r="R128" s="27"/>
    </row>
    <row r="129" spans="1:18" ht="16.350000000000001" customHeight="1" x14ac:dyDescent="0.2">
      <c r="A129" s="42">
        <v>17</v>
      </c>
      <c r="B129" s="42">
        <v>30</v>
      </c>
      <c r="C129" s="42">
        <f>(Q115+'BLDG COMMENT'!$B$111)*0.911</f>
        <v>60.809249999999999</v>
      </c>
      <c r="D129" s="41" t="s">
        <v>1</v>
      </c>
      <c r="E129" s="41" t="s">
        <v>611</v>
      </c>
      <c r="F129" s="59">
        <v>3500</v>
      </c>
      <c r="G129" s="59">
        <f t="shared" si="3"/>
        <v>3999</v>
      </c>
      <c r="H129" s="60">
        <f t="shared" si="4"/>
        <v>89.70923482500001</v>
      </c>
      <c r="I129" s="61">
        <v>0</v>
      </c>
      <c r="J129" s="71"/>
      <c r="K129" s="54"/>
      <c r="L129" s="54"/>
      <c r="M129" s="72"/>
      <c r="N129" s="27"/>
      <c r="O129" s="27"/>
      <c r="P129" s="27"/>
      <c r="Q129" s="27"/>
      <c r="R129" s="27"/>
    </row>
    <row r="130" spans="1:18" ht="16.350000000000001" customHeight="1" x14ac:dyDescent="0.2">
      <c r="A130" s="42">
        <v>17</v>
      </c>
      <c r="B130" s="42">
        <v>30</v>
      </c>
      <c r="C130" s="42">
        <f>(Q115+'BLDG COMMENT'!$B$111)*0.884</f>
        <v>59.006999999999998</v>
      </c>
      <c r="D130" s="41" t="s">
        <v>1</v>
      </c>
      <c r="E130" s="41" t="s">
        <v>611</v>
      </c>
      <c r="F130" s="59">
        <v>4000</v>
      </c>
      <c r="G130" s="59">
        <v>999999</v>
      </c>
      <c r="H130" s="60">
        <f t="shared" si="4"/>
        <v>88.089192300000008</v>
      </c>
      <c r="I130" s="61">
        <v>0</v>
      </c>
      <c r="J130" s="74"/>
      <c r="K130" s="75"/>
      <c r="L130" s="75"/>
      <c r="M130" s="76"/>
      <c r="N130" s="27"/>
      <c r="O130" s="27"/>
      <c r="P130" s="27"/>
      <c r="Q130" s="27"/>
      <c r="R130" s="27"/>
    </row>
    <row r="131" spans="1:18" ht="16.350000000000001" customHeight="1" x14ac:dyDescent="0.2">
      <c r="A131" s="42">
        <v>17</v>
      </c>
      <c r="B131" s="42">
        <v>30</v>
      </c>
      <c r="C131" s="42">
        <f>(Q114+'BLDG COMMENT'!$B$111)*1.844</f>
        <v>146.59800000000001</v>
      </c>
      <c r="D131" s="41" t="s">
        <v>1</v>
      </c>
      <c r="E131" s="41" t="s">
        <v>612</v>
      </c>
      <c r="F131" s="59">
        <v>0</v>
      </c>
      <c r="G131" s="59">
        <v>499</v>
      </c>
      <c r="H131" s="60">
        <f>((C131+$C$11+$B$29)*($B$5*$I$5)+46)</f>
        <v>179.5747422</v>
      </c>
      <c r="I131" s="61">
        <v>0</v>
      </c>
      <c r="J131" s="105" t="s">
        <v>595</v>
      </c>
      <c r="K131" s="106"/>
      <c r="L131" s="106"/>
      <c r="M131" s="107"/>
      <c r="N131" s="27"/>
      <c r="O131" s="27"/>
      <c r="P131" s="27"/>
      <c r="Q131" s="27"/>
      <c r="R131" s="27"/>
    </row>
    <row r="132" spans="1:18" ht="16.350000000000001" customHeight="1" x14ac:dyDescent="0.2">
      <c r="A132" s="42">
        <v>17</v>
      </c>
      <c r="B132" s="42">
        <v>30</v>
      </c>
      <c r="C132" s="42">
        <f>(Q114+'BLDG COMMENT'!$B$111)*1.489</f>
        <v>118.3755</v>
      </c>
      <c r="D132" s="41" t="s">
        <v>1</v>
      </c>
      <c r="E132" s="41" t="s">
        <v>612</v>
      </c>
      <c r="F132" s="59">
        <v>500</v>
      </c>
      <c r="G132" s="59">
        <f>+F133-1</f>
        <v>749</v>
      </c>
      <c r="H132" s="60">
        <f t="shared" ref="H132:H140" si="5">((C132+$C$11+$B$29)*($B$5*$I$5)+46)</f>
        <v>154.20553695000001</v>
      </c>
      <c r="I132" s="61">
        <v>0</v>
      </c>
      <c r="J132" s="108"/>
      <c r="K132" s="109"/>
      <c r="L132" s="109"/>
      <c r="M132" s="110"/>
      <c r="N132" s="27"/>
      <c r="O132" s="27"/>
      <c r="P132" s="27"/>
      <c r="Q132" s="27"/>
      <c r="R132" s="27"/>
    </row>
    <row r="133" spans="1:18" ht="16.350000000000001" customHeight="1" x14ac:dyDescent="0.2">
      <c r="A133" s="42">
        <v>17</v>
      </c>
      <c r="B133" s="42">
        <v>30</v>
      </c>
      <c r="C133" s="42">
        <f>(Q114+'BLDG COMMENT'!$B$111)*1.311</f>
        <v>104.22449999999999</v>
      </c>
      <c r="D133" s="41" t="s">
        <v>1</v>
      </c>
      <c r="E133" s="41" t="s">
        <v>612</v>
      </c>
      <c r="F133" s="59">
        <v>750</v>
      </c>
      <c r="G133" s="59">
        <f t="shared" ref="G133:G139" si="6">+F134-1</f>
        <v>999</v>
      </c>
      <c r="H133" s="60">
        <f t="shared" si="5"/>
        <v>141.48520305</v>
      </c>
      <c r="I133" s="61">
        <v>0</v>
      </c>
      <c r="J133" s="108"/>
      <c r="K133" s="109"/>
      <c r="L133" s="109"/>
      <c r="M133" s="110"/>
      <c r="N133" s="27"/>
      <c r="O133" s="27"/>
      <c r="P133" s="27"/>
      <c r="Q133" s="27"/>
      <c r="R133" s="27"/>
    </row>
    <row r="134" spans="1:18" ht="16.350000000000001" customHeight="1" x14ac:dyDescent="0.2">
      <c r="A134" s="42">
        <v>17</v>
      </c>
      <c r="B134" s="42">
        <v>30</v>
      </c>
      <c r="C134" s="42">
        <f>(Q114+'BLDG COMMENT'!$B$111)*1.133</f>
        <v>90.073499999999996</v>
      </c>
      <c r="D134" s="41" t="s">
        <v>1</v>
      </c>
      <c r="E134" s="41" t="s">
        <v>612</v>
      </c>
      <c r="F134" s="59">
        <v>1000</v>
      </c>
      <c r="G134" s="59">
        <f t="shared" si="6"/>
        <v>1499</v>
      </c>
      <c r="H134" s="60">
        <f t="shared" si="5"/>
        <v>128.76486914999998</v>
      </c>
      <c r="I134" s="61">
        <v>0</v>
      </c>
      <c r="J134" s="71"/>
      <c r="K134" s="54"/>
      <c r="L134" s="54"/>
      <c r="M134" s="72"/>
      <c r="N134" s="27"/>
      <c r="O134" s="27"/>
      <c r="P134" s="27"/>
      <c r="Q134" s="27"/>
      <c r="R134" s="27"/>
    </row>
    <row r="135" spans="1:18" ht="16.350000000000001" customHeight="1" x14ac:dyDescent="0.2">
      <c r="A135" s="42">
        <v>17</v>
      </c>
      <c r="B135" s="42">
        <v>30</v>
      </c>
      <c r="C135" s="42">
        <f>(Q114+'BLDG COMMENT'!$B$111)*1.044</f>
        <v>82.998000000000005</v>
      </c>
      <c r="D135" s="41" t="s">
        <v>1</v>
      </c>
      <c r="E135" s="41" t="s">
        <v>612</v>
      </c>
      <c r="F135" s="59">
        <v>1500</v>
      </c>
      <c r="G135" s="59">
        <f t="shared" si="6"/>
        <v>1999</v>
      </c>
      <c r="H135" s="60">
        <f t="shared" si="5"/>
        <v>122.4047022</v>
      </c>
      <c r="I135" s="61">
        <v>0</v>
      </c>
      <c r="J135" s="71"/>
      <c r="K135" s="54"/>
      <c r="L135" s="54"/>
      <c r="M135" s="72"/>
      <c r="N135" s="27"/>
      <c r="O135" s="27"/>
      <c r="P135" s="27"/>
      <c r="Q135" s="27"/>
      <c r="R135" s="27"/>
    </row>
    <row r="136" spans="1:18" ht="16.350000000000001" customHeight="1" x14ac:dyDescent="0.2">
      <c r="A136" s="42">
        <v>17</v>
      </c>
      <c r="B136" s="42">
        <v>30</v>
      </c>
      <c r="C136" s="42">
        <f>(Q114+'BLDG COMMENT'!$B$111)*0.991</f>
        <v>78.784499999999994</v>
      </c>
      <c r="D136" s="41" t="s">
        <v>1</v>
      </c>
      <c r="E136" s="41" t="s">
        <v>612</v>
      </c>
      <c r="F136" s="59">
        <v>2000</v>
      </c>
      <c r="G136" s="59">
        <f t="shared" si="6"/>
        <v>2499</v>
      </c>
      <c r="H136" s="60">
        <f t="shared" si="5"/>
        <v>118.61718705</v>
      </c>
      <c r="I136" s="61">
        <v>0</v>
      </c>
      <c r="J136" s="71"/>
      <c r="K136" s="54"/>
      <c r="L136" s="54"/>
      <c r="M136" s="72"/>
      <c r="N136" s="27"/>
      <c r="O136" s="27"/>
      <c r="P136" s="27"/>
      <c r="Q136" s="27"/>
      <c r="R136" s="27"/>
    </row>
    <row r="137" spans="1:18" ht="16.350000000000001" customHeight="1" x14ac:dyDescent="0.2">
      <c r="A137" s="42">
        <v>17</v>
      </c>
      <c r="B137" s="42">
        <v>30</v>
      </c>
      <c r="C137" s="42">
        <f>(Q114+'BLDG COMMENT'!$B$111)*0.995</f>
        <v>79.102500000000006</v>
      </c>
      <c r="D137" s="41" t="s">
        <v>1</v>
      </c>
      <c r="E137" s="41" t="s">
        <v>612</v>
      </c>
      <c r="F137" s="59">
        <v>2500</v>
      </c>
      <c r="G137" s="59">
        <f t="shared" si="6"/>
        <v>2999</v>
      </c>
      <c r="H137" s="60">
        <f t="shared" si="5"/>
        <v>118.90303725000001</v>
      </c>
      <c r="I137" s="61">
        <v>0</v>
      </c>
      <c r="J137" s="71"/>
      <c r="K137" s="54"/>
      <c r="L137" s="54"/>
      <c r="M137" s="72"/>
      <c r="N137" s="27"/>
      <c r="O137" s="27"/>
      <c r="P137" s="27"/>
      <c r="Q137" s="27"/>
      <c r="R137" s="27"/>
    </row>
    <row r="138" spans="1:18" ht="16.350000000000001" customHeight="1" x14ac:dyDescent="0.2">
      <c r="A138" s="42">
        <v>17</v>
      </c>
      <c r="B138" s="42">
        <v>30</v>
      </c>
      <c r="C138" s="42">
        <f>(Q114+'BLDG COMMENT'!$B$111)*0.931</f>
        <v>74.014499999999998</v>
      </c>
      <c r="D138" s="41" t="s">
        <v>1</v>
      </c>
      <c r="E138" s="41" t="s">
        <v>612</v>
      </c>
      <c r="F138" s="59">
        <v>3000</v>
      </c>
      <c r="G138" s="59">
        <f t="shared" si="6"/>
        <v>3499</v>
      </c>
      <c r="H138" s="60">
        <f t="shared" si="5"/>
        <v>114.32943405</v>
      </c>
      <c r="I138" s="61">
        <v>0</v>
      </c>
      <c r="J138" s="71"/>
      <c r="K138" s="54"/>
      <c r="L138" s="54"/>
      <c r="M138" s="72"/>
      <c r="N138" s="27"/>
      <c r="O138" s="27"/>
      <c r="P138" s="27"/>
      <c r="Q138" s="27"/>
      <c r="R138" s="27"/>
    </row>
    <row r="139" spans="1:18" ht="16.350000000000001" customHeight="1" x14ac:dyDescent="0.2">
      <c r="A139" s="42">
        <v>17</v>
      </c>
      <c r="B139" s="42">
        <v>30</v>
      </c>
      <c r="C139" s="42">
        <f>(Q114+'BLDG COMMENT'!$B$111)*0.911</f>
        <v>72.424500000000009</v>
      </c>
      <c r="D139" s="41" t="s">
        <v>1</v>
      </c>
      <c r="E139" s="41" t="s">
        <v>612</v>
      </c>
      <c r="F139" s="59">
        <v>3500</v>
      </c>
      <c r="G139" s="59">
        <f t="shared" si="6"/>
        <v>3999</v>
      </c>
      <c r="H139" s="60">
        <f t="shared" si="5"/>
        <v>112.90018305000001</v>
      </c>
      <c r="I139" s="61">
        <v>0</v>
      </c>
      <c r="J139" s="71"/>
      <c r="K139" s="54"/>
      <c r="L139" s="54"/>
      <c r="M139" s="72"/>
      <c r="N139" s="27"/>
      <c r="O139" s="27"/>
      <c r="P139" s="27"/>
      <c r="Q139" s="27"/>
      <c r="R139" s="27"/>
    </row>
    <row r="140" spans="1:18" ht="16.350000000000001" customHeight="1" x14ac:dyDescent="0.2">
      <c r="A140" s="42">
        <v>17</v>
      </c>
      <c r="B140" s="42">
        <v>30</v>
      </c>
      <c r="C140" s="42">
        <f>(Q114+'BLDG COMMENT'!$B$111)*0.884</f>
        <v>70.278000000000006</v>
      </c>
      <c r="D140" s="41" t="s">
        <v>1</v>
      </c>
      <c r="E140" s="41" t="s">
        <v>612</v>
      </c>
      <c r="F140" s="59">
        <v>4000</v>
      </c>
      <c r="G140" s="59">
        <v>999999</v>
      </c>
      <c r="H140" s="60">
        <f t="shared" si="5"/>
        <v>110.97069420000001</v>
      </c>
      <c r="I140" s="61">
        <v>0</v>
      </c>
      <c r="J140" s="74"/>
      <c r="K140" s="75"/>
      <c r="L140" s="75"/>
      <c r="M140" s="76"/>
      <c r="N140" s="27"/>
      <c r="O140" s="27"/>
      <c r="P140" s="27"/>
      <c r="Q140" s="27"/>
      <c r="R140" s="27"/>
    </row>
    <row r="141" spans="1:18" ht="16.350000000000001" customHeight="1" x14ac:dyDescent="0.2">
      <c r="A141" s="42">
        <v>17</v>
      </c>
      <c r="B141" s="42">
        <v>30</v>
      </c>
      <c r="C141" s="42">
        <f>(Q113+'BLDG COMMENT'!$B$111)*1.844</f>
        <v>189.61160500000003</v>
      </c>
      <c r="D141" s="41" t="s">
        <v>1</v>
      </c>
      <c r="E141" s="41" t="s">
        <v>613</v>
      </c>
      <c r="F141" s="59">
        <v>0</v>
      </c>
      <c r="G141" s="59">
        <v>499</v>
      </c>
      <c r="H141" s="60">
        <f>((C141+$C$11+$B$29)*($B$5*$I$5)+69.33)</f>
        <v>241.56967173450005</v>
      </c>
      <c r="I141" s="61">
        <v>0</v>
      </c>
      <c r="J141" s="105" t="s">
        <v>596</v>
      </c>
      <c r="K141" s="106"/>
      <c r="L141" s="106"/>
      <c r="M141" s="107"/>
      <c r="N141" s="27"/>
      <c r="O141" s="27"/>
      <c r="P141" s="27"/>
      <c r="Q141" s="27"/>
      <c r="R141" s="27"/>
    </row>
    <row r="142" spans="1:18" ht="16.350000000000001" customHeight="1" x14ac:dyDescent="0.2">
      <c r="A142" s="42">
        <v>17</v>
      </c>
      <c r="B142" s="42">
        <v>30</v>
      </c>
      <c r="C142" s="42">
        <f>(Q113+'BLDG COMMENT'!$B$111)*1.489</f>
        <v>153.10828625000002</v>
      </c>
      <c r="D142" s="41" t="s">
        <v>1</v>
      </c>
      <c r="E142" s="41" t="s">
        <v>613</v>
      </c>
      <c r="F142" s="59">
        <v>500</v>
      </c>
      <c r="G142" s="59">
        <f>+F143-1</f>
        <v>749</v>
      </c>
      <c r="H142" s="60">
        <f t="shared" ref="H142:H150" si="7">((C142+$C$11+$B$29)*($B$5*$I$5)+69.33)</f>
        <v>208.75683851012502</v>
      </c>
      <c r="I142" s="61">
        <v>0</v>
      </c>
      <c r="J142" s="108"/>
      <c r="K142" s="109"/>
      <c r="L142" s="109"/>
      <c r="M142" s="110"/>
      <c r="N142" s="27"/>
      <c r="O142" s="27"/>
      <c r="P142" s="27"/>
      <c r="Q142" s="27"/>
      <c r="R142" s="27"/>
    </row>
    <row r="143" spans="1:18" ht="16.350000000000001" customHeight="1" x14ac:dyDescent="0.2">
      <c r="A143" s="42">
        <v>17</v>
      </c>
      <c r="B143" s="42">
        <v>30</v>
      </c>
      <c r="C143" s="42">
        <f>(Q113+'BLDG COMMENT'!$B$111)*1.311</f>
        <v>134.80521375000001</v>
      </c>
      <c r="D143" s="41" t="s">
        <v>1</v>
      </c>
      <c r="E143" s="41" t="s">
        <v>613</v>
      </c>
      <c r="F143" s="59">
        <v>750</v>
      </c>
      <c r="G143" s="59">
        <f t="shared" ref="G143:G149" si="8">+F144-1</f>
        <v>999</v>
      </c>
      <c r="H143" s="60">
        <f t="shared" si="7"/>
        <v>192.30420663987502</v>
      </c>
      <c r="I143" s="61">
        <v>0</v>
      </c>
      <c r="J143" s="108"/>
      <c r="K143" s="109"/>
      <c r="L143" s="109"/>
      <c r="M143" s="110"/>
      <c r="N143" s="27"/>
      <c r="O143" s="27"/>
      <c r="P143" s="27"/>
      <c r="Q143" s="27"/>
      <c r="R143" s="27"/>
    </row>
    <row r="144" spans="1:18" ht="16.350000000000001" customHeight="1" x14ac:dyDescent="0.2">
      <c r="A144" s="42">
        <v>17</v>
      </c>
      <c r="B144" s="42">
        <v>30</v>
      </c>
      <c r="C144" s="42">
        <f>(Q113+'BLDG COMMENT'!$B$111)*1.133</f>
        <v>116.50214125000001</v>
      </c>
      <c r="D144" s="41" t="s">
        <v>1</v>
      </c>
      <c r="E144" s="41" t="s">
        <v>613</v>
      </c>
      <c r="F144" s="59">
        <v>1000</v>
      </c>
      <c r="G144" s="59">
        <f t="shared" si="8"/>
        <v>1499</v>
      </c>
      <c r="H144" s="60">
        <f t="shared" si="7"/>
        <v>175.85157476962502</v>
      </c>
      <c r="I144" s="61">
        <v>0</v>
      </c>
      <c r="J144" s="71"/>
      <c r="K144" s="54"/>
      <c r="L144" s="54"/>
      <c r="M144" s="72"/>
      <c r="N144" s="27"/>
      <c r="O144" s="27"/>
      <c r="P144" s="27"/>
      <c r="Q144" s="27"/>
      <c r="R144" s="27"/>
    </row>
    <row r="145" spans="1:18" ht="16.350000000000001" customHeight="1" x14ac:dyDescent="0.2">
      <c r="A145" s="42">
        <v>17</v>
      </c>
      <c r="B145" s="42">
        <v>30</v>
      </c>
      <c r="C145" s="42">
        <f>(Q113+'BLDG COMMENT'!$B$111)*1.044</f>
        <v>107.350605</v>
      </c>
      <c r="D145" s="41" t="s">
        <v>1</v>
      </c>
      <c r="E145" s="41" t="s">
        <v>613</v>
      </c>
      <c r="F145" s="59">
        <v>1500</v>
      </c>
      <c r="G145" s="59">
        <f t="shared" si="8"/>
        <v>1999</v>
      </c>
      <c r="H145" s="60">
        <f t="shared" si="7"/>
        <v>167.62525883450002</v>
      </c>
      <c r="I145" s="61">
        <v>0</v>
      </c>
      <c r="J145" s="71"/>
      <c r="K145" s="54"/>
      <c r="L145" s="54"/>
      <c r="M145" s="72"/>
      <c r="N145" s="27"/>
      <c r="O145" s="27"/>
      <c r="P145" s="27"/>
      <c r="Q145" s="27"/>
      <c r="R145" s="27"/>
    </row>
    <row r="146" spans="1:18" ht="16.350000000000001" customHeight="1" x14ac:dyDescent="0.2">
      <c r="A146" s="42">
        <v>17</v>
      </c>
      <c r="B146" s="42">
        <v>30</v>
      </c>
      <c r="C146" s="42">
        <f>(Q113+'BLDG COMMENT'!$B$111)*0.991</f>
        <v>101.90081375</v>
      </c>
      <c r="D146" s="41" t="s">
        <v>1</v>
      </c>
      <c r="E146" s="41" t="s">
        <v>613</v>
      </c>
      <c r="F146" s="59">
        <v>2000</v>
      </c>
      <c r="G146" s="59">
        <f t="shared" si="8"/>
        <v>2499</v>
      </c>
      <c r="H146" s="60">
        <f t="shared" si="7"/>
        <v>162.72644147987501</v>
      </c>
      <c r="I146" s="61">
        <v>0</v>
      </c>
      <c r="J146" s="71"/>
      <c r="K146" s="54"/>
      <c r="L146" s="54"/>
      <c r="M146" s="72"/>
      <c r="N146" s="27"/>
      <c r="O146" s="27"/>
      <c r="P146" s="27"/>
      <c r="Q146" s="27"/>
      <c r="R146" s="27"/>
    </row>
    <row r="147" spans="1:18" ht="16.350000000000001" customHeight="1" x14ac:dyDescent="0.2">
      <c r="A147" s="42">
        <v>17</v>
      </c>
      <c r="B147" s="42">
        <v>30</v>
      </c>
      <c r="C147" s="42">
        <f>(Q113+'BLDG COMMENT'!$B$111)*0.995</f>
        <v>102.31211875</v>
      </c>
      <c r="D147" s="41" t="s">
        <v>1</v>
      </c>
      <c r="E147" s="41" t="s">
        <v>613</v>
      </c>
      <c r="F147" s="59">
        <v>2500</v>
      </c>
      <c r="G147" s="59">
        <f t="shared" si="8"/>
        <v>2999</v>
      </c>
      <c r="H147" s="60">
        <f t="shared" si="7"/>
        <v>163.096163544375</v>
      </c>
      <c r="I147" s="61">
        <v>0</v>
      </c>
      <c r="J147" s="71"/>
      <c r="K147" s="54"/>
      <c r="L147" s="54"/>
      <c r="M147" s="72"/>
      <c r="N147" s="27"/>
      <c r="O147" s="27"/>
      <c r="P147" s="27"/>
      <c r="Q147" s="27"/>
      <c r="R147" s="27"/>
    </row>
    <row r="148" spans="1:18" ht="16.350000000000001" customHeight="1" x14ac:dyDescent="0.2">
      <c r="A148" s="42">
        <v>17</v>
      </c>
      <c r="B148" s="42">
        <v>30</v>
      </c>
      <c r="C148" s="42">
        <f>(Q113+'BLDG COMMENT'!$B$111)*0.931</f>
        <v>95.731238750000003</v>
      </c>
      <c r="D148" s="41" t="s">
        <v>1</v>
      </c>
      <c r="E148" s="41" t="s">
        <v>613</v>
      </c>
      <c r="F148" s="59">
        <v>3000</v>
      </c>
      <c r="G148" s="59">
        <f t="shared" si="8"/>
        <v>3499</v>
      </c>
      <c r="H148" s="60">
        <f t="shared" si="7"/>
        <v>157.18061051237498</v>
      </c>
      <c r="I148" s="61">
        <v>0</v>
      </c>
      <c r="J148" s="71"/>
      <c r="K148" s="54"/>
      <c r="L148" s="54"/>
      <c r="M148" s="72"/>
      <c r="N148" s="27"/>
      <c r="O148" s="27"/>
      <c r="P148" s="27"/>
      <c r="Q148" s="27"/>
      <c r="R148" s="27"/>
    </row>
    <row r="149" spans="1:18" ht="16.350000000000001" customHeight="1" x14ac:dyDescent="0.2">
      <c r="A149" s="42">
        <v>17</v>
      </c>
      <c r="B149" s="42">
        <v>30</v>
      </c>
      <c r="C149" s="42">
        <f>(Q113+'BLDG COMMENT'!$B$111)*0.911</f>
        <v>93.674713750000009</v>
      </c>
      <c r="D149" s="41" t="s">
        <v>1</v>
      </c>
      <c r="E149" s="41" t="s">
        <v>613</v>
      </c>
      <c r="F149" s="59">
        <v>3500</v>
      </c>
      <c r="G149" s="59">
        <f t="shared" si="8"/>
        <v>3999</v>
      </c>
      <c r="H149" s="60">
        <f t="shared" si="7"/>
        <v>155.332000189875</v>
      </c>
      <c r="I149" s="61">
        <v>0</v>
      </c>
      <c r="J149" s="71"/>
      <c r="K149" s="54"/>
      <c r="L149" s="54"/>
      <c r="M149" s="72"/>
      <c r="N149" s="27"/>
      <c r="O149" s="27"/>
      <c r="P149" s="27"/>
      <c r="Q149" s="27"/>
      <c r="R149" s="27"/>
    </row>
    <row r="150" spans="1:18" ht="16.350000000000001" customHeight="1" x14ac:dyDescent="0.2">
      <c r="A150" s="42">
        <v>17</v>
      </c>
      <c r="B150" s="42">
        <v>30</v>
      </c>
      <c r="C150" s="42">
        <f>(Q113+'BLDG COMMENT'!$B$111)*0.884</f>
        <v>90.898404999999997</v>
      </c>
      <c r="D150" s="41" t="s">
        <v>1</v>
      </c>
      <c r="E150" s="41" t="s">
        <v>613</v>
      </c>
      <c r="F150" s="59">
        <v>4000</v>
      </c>
      <c r="G150" s="59">
        <v>999999</v>
      </c>
      <c r="H150" s="60">
        <f t="shared" si="7"/>
        <v>152.83637625450001</v>
      </c>
      <c r="I150" s="61">
        <v>0</v>
      </c>
      <c r="J150" s="74"/>
      <c r="K150" s="75"/>
      <c r="L150" s="75"/>
      <c r="M150" s="76"/>
      <c r="N150" s="27"/>
      <c r="O150" s="27"/>
      <c r="P150" s="27"/>
      <c r="Q150" s="27"/>
      <c r="R150" s="27"/>
    </row>
    <row r="151" spans="1:18" ht="16.350000000000001" customHeight="1" x14ac:dyDescent="0.2">
      <c r="D151" s="27"/>
      <c r="E151" s="27"/>
      <c r="F151" s="64"/>
      <c r="G151" s="64"/>
      <c r="H151" s="65"/>
      <c r="I151" s="26"/>
      <c r="J151" s="54"/>
      <c r="K151" s="54"/>
      <c r="L151" s="54"/>
      <c r="M151" s="54"/>
      <c r="N151" s="27"/>
      <c r="O151" s="27"/>
      <c r="P151" s="27"/>
      <c r="Q151" s="27"/>
      <c r="R151" s="27"/>
    </row>
    <row r="152" spans="1:18" ht="16.350000000000001" customHeight="1" x14ac:dyDescent="0.2">
      <c r="D152" s="27"/>
      <c r="E152" s="27"/>
      <c r="F152" s="64"/>
      <c r="G152" s="64"/>
      <c r="H152" s="65"/>
      <c r="I152" s="26"/>
      <c r="J152" s="54"/>
      <c r="K152" s="54"/>
      <c r="L152" s="54"/>
      <c r="M152" s="54"/>
      <c r="N152" s="27"/>
      <c r="O152" s="27"/>
      <c r="P152" s="27"/>
      <c r="Q152" s="27"/>
      <c r="R152" s="27"/>
    </row>
    <row r="153" spans="1:18" ht="16.350000000000001" customHeight="1" x14ac:dyDescent="0.2">
      <c r="A153" s="55" t="s">
        <v>389</v>
      </c>
      <c r="B153" s="55" t="s">
        <v>390</v>
      </c>
      <c r="C153" s="55" t="s">
        <v>391</v>
      </c>
      <c r="D153" s="56" t="s">
        <v>2</v>
      </c>
      <c r="E153" s="55" t="s">
        <v>334</v>
      </c>
      <c r="F153" s="66" t="s">
        <v>333</v>
      </c>
      <c r="G153" s="66" t="s">
        <v>333</v>
      </c>
      <c r="H153" s="57" t="s">
        <v>335</v>
      </c>
      <c r="I153" s="58" t="s">
        <v>336</v>
      </c>
      <c r="J153" s="95" t="s">
        <v>0</v>
      </c>
      <c r="K153" s="95"/>
      <c r="L153" s="95"/>
      <c r="M153" s="95"/>
      <c r="N153" s="27"/>
      <c r="O153" s="27"/>
      <c r="P153" s="27"/>
      <c r="Q153" s="27"/>
      <c r="R153" s="27"/>
    </row>
    <row r="154" spans="1:18" ht="16.350000000000001" customHeight="1" x14ac:dyDescent="0.2">
      <c r="A154" s="42">
        <v>17</v>
      </c>
      <c r="B154" s="42">
        <v>30</v>
      </c>
      <c r="C154" s="42">
        <f>(Q160+'BLDG COMMENT'!$B$111)*1.844</f>
        <v>61.774000000000001</v>
      </c>
      <c r="D154" s="41" t="s">
        <v>1</v>
      </c>
      <c r="E154" s="41" t="s">
        <v>606</v>
      </c>
      <c r="F154" s="59">
        <v>0</v>
      </c>
      <c r="G154" s="59">
        <v>499</v>
      </c>
      <c r="H154" s="60">
        <f>((C154+$C$11+$B$29)*($B$5*$I$5)+24.15)</f>
        <v>81.476448599999998</v>
      </c>
      <c r="I154" s="61">
        <v>0</v>
      </c>
      <c r="J154" s="105" t="s">
        <v>600</v>
      </c>
      <c r="K154" s="106"/>
      <c r="L154" s="106"/>
      <c r="M154" s="107"/>
      <c r="N154" s="27"/>
      <c r="O154" s="27" t="s">
        <v>594</v>
      </c>
      <c r="P154" s="27"/>
      <c r="Q154" s="27"/>
      <c r="R154" s="27"/>
    </row>
    <row r="155" spans="1:18" ht="16.350000000000001" customHeight="1" x14ac:dyDescent="0.25">
      <c r="A155" s="42">
        <v>17</v>
      </c>
      <c r="B155" s="42">
        <v>30</v>
      </c>
      <c r="C155" s="42">
        <f>(Q160+'BLDG COMMENT'!$B$111)*1.489</f>
        <v>49.881500000000003</v>
      </c>
      <c r="D155" s="41" t="s">
        <v>1</v>
      </c>
      <c r="E155" s="41" t="s">
        <v>606</v>
      </c>
      <c r="F155" s="59">
        <v>500</v>
      </c>
      <c r="G155" s="59">
        <f>+F156-1</f>
        <v>749</v>
      </c>
      <c r="H155" s="60">
        <f t="shared" ref="H155:H163" si="9">((C155+$C$11+$B$29)*($B$5*$I$5)+24.15)</f>
        <v>70.786280349999998</v>
      </c>
      <c r="I155" s="61">
        <v>0</v>
      </c>
      <c r="J155" s="108"/>
      <c r="K155" s="109"/>
      <c r="L155" s="109"/>
      <c r="M155" s="110"/>
      <c r="N155" s="27"/>
      <c r="O155" s="27" t="s">
        <v>586</v>
      </c>
      <c r="P155" s="27"/>
    </row>
    <row r="156" spans="1:18" ht="16.350000000000001" customHeight="1" x14ac:dyDescent="0.2">
      <c r="A156" s="42">
        <v>17</v>
      </c>
      <c r="B156" s="42">
        <v>30</v>
      </c>
      <c r="C156" s="42">
        <f>(Q160+'BLDG COMMENT'!$B$111)*1.311</f>
        <v>43.918499999999995</v>
      </c>
      <c r="D156" s="41" t="s">
        <v>1</v>
      </c>
      <c r="E156" s="41" t="s">
        <v>606</v>
      </c>
      <c r="F156" s="59">
        <v>750</v>
      </c>
      <c r="G156" s="59">
        <f t="shared" ref="G156:G162" si="10">+F157-1</f>
        <v>999</v>
      </c>
      <c r="H156" s="60">
        <f t="shared" si="9"/>
        <v>65.426139649999996</v>
      </c>
      <c r="I156" s="61">
        <v>0</v>
      </c>
      <c r="J156" s="108"/>
      <c r="K156" s="109"/>
      <c r="L156" s="109"/>
      <c r="M156" s="110"/>
      <c r="N156" s="27"/>
      <c r="O156" s="27" t="s">
        <v>599</v>
      </c>
      <c r="P156" s="27" t="s">
        <v>583</v>
      </c>
      <c r="Q156" s="62">
        <f>+Q158*2.085</f>
        <v>69.326250000000002</v>
      </c>
      <c r="R156" s="27">
        <v>6</v>
      </c>
    </row>
    <row r="157" spans="1:18" ht="16.350000000000001" customHeight="1" x14ac:dyDescent="0.2">
      <c r="A157" s="42">
        <v>17</v>
      </c>
      <c r="B157" s="42">
        <v>30</v>
      </c>
      <c r="C157" s="42">
        <f>(Q160+'BLDG COMMENT'!$B$111)*1.133</f>
        <v>37.955500000000001</v>
      </c>
      <c r="D157" s="41" t="s">
        <v>1</v>
      </c>
      <c r="E157" s="41" t="s">
        <v>606</v>
      </c>
      <c r="F157" s="59">
        <v>1000</v>
      </c>
      <c r="G157" s="59">
        <f t="shared" si="10"/>
        <v>1499</v>
      </c>
      <c r="H157" s="60">
        <f t="shared" si="9"/>
        <v>60.065998950000001</v>
      </c>
      <c r="I157" s="61">
        <v>0</v>
      </c>
      <c r="J157" s="108"/>
      <c r="K157" s="109"/>
      <c r="L157" s="109"/>
      <c r="M157" s="110"/>
      <c r="N157" s="27"/>
      <c r="O157" s="27"/>
      <c r="P157" s="27" t="s">
        <v>584</v>
      </c>
      <c r="Q157" s="27">
        <v>46</v>
      </c>
      <c r="R157" s="27">
        <v>5</v>
      </c>
    </row>
    <row r="158" spans="1:18" ht="16.350000000000001" customHeight="1" x14ac:dyDescent="0.2">
      <c r="A158" s="42">
        <v>17</v>
      </c>
      <c r="B158" s="42">
        <v>30</v>
      </c>
      <c r="C158" s="42">
        <f>(Q160+'BLDG COMMENT'!$B$111)*1.044</f>
        <v>34.974000000000004</v>
      </c>
      <c r="D158" s="41" t="s">
        <v>1</v>
      </c>
      <c r="E158" s="41" t="s">
        <v>606</v>
      </c>
      <c r="F158" s="59">
        <v>1500</v>
      </c>
      <c r="G158" s="59">
        <f t="shared" si="10"/>
        <v>1999</v>
      </c>
      <c r="H158" s="60">
        <f t="shared" si="9"/>
        <v>57.3859286</v>
      </c>
      <c r="I158" s="61">
        <v>0</v>
      </c>
      <c r="J158" s="71"/>
      <c r="K158" s="54"/>
      <c r="L158" s="54"/>
      <c r="M158" s="72"/>
      <c r="N158" s="27"/>
      <c r="O158" s="27"/>
      <c r="P158" s="27" t="s">
        <v>585</v>
      </c>
      <c r="Q158" s="27">
        <v>33.25</v>
      </c>
      <c r="R158" s="27">
        <v>4</v>
      </c>
    </row>
    <row r="159" spans="1:18" ht="16.350000000000001" customHeight="1" x14ac:dyDescent="0.2">
      <c r="A159" s="42">
        <v>17</v>
      </c>
      <c r="B159" s="42">
        <v>30</v>
      </c>
      <c r="C159" s="42">
        <f>(Q160+'BLDG COMMENT'!$B$111)*0.991</f>
        <v>33.198500000000003</v>
      </c>
      <c r="D159" s="41" t="s">
        <v>1</v>
      </c>
      <c r="E159" s="41" t="s">
        <v>606</v>
      </c>
      <c r="F159" s="59">
        <v>2000</v>
      </c>
      <c r="G159" s="59">
        <f t="shared" si="10"/>
        <v>2499</v>
      </c>
      <c r="H159" s="60">
        <f t="shared" si="9"/>
        <v>55.78993165</v>
      </c>
      <c r="I159" s="61">
        <v>0</v>
      </c>
      <c r="J159" s="71"/>
      <c r="K159" s="54"/>
      <c r="L159" s="54"/>
      <c r="M159" s="72"/>
      <c r="N159" s="27"/>
      <c r="O159" s="27"/>
      <c r="P159" s="27" t="s">
        <v>503</v>
      </c>
      <c r="Q159" s="27">
        <v>24.15</v>
      </c>
      <c r="R159" s="27">
        <v>3</v>
      </c>
    </row>
    <row r="160" spans="1:18" ht="16.350000000000001" customHeight="1" x14ac:dyDescent="0.2">
      <c r="A160" s="42">
        <v>17</v>
      </c>
      <c r="B160" s="42">
        <v>30</v>
      </c>
      <c r="C160" s="42">
        <f>(Q160+'BLDG COMMENT'!$B$111)*0.995</f>
        <v>33.332500000000003</v>
      </c>
      <c r="D160" s="41" t="s">
        <v>1</v>
      </c>
      <c r="E160" s="41" t="s">
        <v>606</v>
      </c>
      <c r="F160" s="59">
        <v>2500</v>
      </c>
      <c r="G160" s="59">
        <f t="shared" si="10"/>
        <v>2999</v>
      </c>
      <c r="H160" s="60">
        <f t="shared" si="9"/>
        <v>55.910384250000007</v>
      </c>
      <c r="I160" s="61">
        <v>0</v>
      </c>
      <c r="J160" s="71"/>
      <c r="K160" s="54"/>
      <c r="L160" s="54"/>
      <c r="M160" s="72"/>
      <c r="N160" s="27"/>
      <c r="O160" s="73" t="s">
        <v>616</v>
      </c>
      <c r="P160" s="27"/>
      <c r="Q160" s="27"/>
      <c r="R160" s="73"/>
    </row>
    <row r="161" spans="1:18" ht="16.350000000000001" customHeight="1" x14ac:dyDescent="0.2">
      <c r="A161" s="42">
        <v>17</v>
      </c>
      <c r="B161" s="42">
        <v>30</v>
      </c>
      <c r="C161" s="42">
        <f>(Q160+'BLDG COMMENT'!$B$111)*0.931</f>
        <v>31.188500000000001</v>
      </c>
      <c r="D161" s="41" t="s">
        <v>1</v>
      </c>
      <c r="E161" s="41" t="s">
        <v>606</v>
      </c>
      <c r="F161" s="59">
        <v>3000</v>
      </c>
      <c r="G161" s="59">
        <f t="shared" si="10"/>
        <v>3499</v>
      </c>
      <c r="H161" s="60">
        <f t="shared" si="9"/>
        <v>53.983142650000005</v>
      </c>
      <c r="I161" s="61">
        <v>0</v>
      </c>
      <c r="J161" s="71"/>
      <c r="K161" s="54"/>
      <c r="L161" s="54"/>
      <c r="M161" s="72"/>
      <c r="N161" s="27"/>
      <c r="O161" s="27"/>
      <c r="P161" s="27"/>
      <c r="Q161" s="27"/>
      <c r="R161" s="27"/>
    </row>
    <row r="162" spans="1:18" ht="16.350000000000001" customHeight="1" x14ac:dyDescent="0.2">
      <c r="A162" s="42">
        <v>17</v>
      </c>
      <c r="B162" s="42">
        <v>30</v>
      </c>
      <c r="C162" s="42">
        <f>(Q160+'BLDG COMMENT'!$B$111)*0.911</f>
        <v>30.5185</v>
      </c>
      <c r="D162" s="41" t="s">
        <v>1</v>
      </c>
      <c r="E162" s="41" t="s">
        <v>606</v>
      </c>
      <c r="F162" s="59">
        <v>3500</v>
      </c>
      <c r="G162" s="59">
        <f t="shared" si="10"/>
        <v>3999</v>
      </c>
      <c r="H162" s="60">
        <f t="shared" si="9"/>
        <v>53.380879649999997</v>
      </c>
      <c r="I162" s="61">
        <v>0</v>
      </c>
      <c r="J162" s="71"/>
      <c r="K162" s="54"/>
      <c r="L162" s="54"/>
      <c r="M162" s="72"/>
      <c r="N162" s="27"/>
      <c r="O162" s="27"/>
      <c r="P162" s="27"/>
      <c r="Q162" s="27"/>
      <c r="R162" s="27"/>
    </row>
    <row r="163" spans="1:18" ht="16.350000000000001" customHeight="1" x14ac:dyDescent="0.2">
      <c r="A163" s="42">
        <v>17</v>
      </c>
      <c r="B163" s="42">
        <v>30</v>
      </c>
      <c r="C163" s="42">
        <f>(Q160+'BLDG COMMENT'!$B$111)*0.884</f>
        <v>29.614000000000001</v>
      </c>
      <c r="D163" s="41" t="s">
        <v>1</v>
      </c>
      <c r="E163" s="41" t="s">
        <v>606</v>
      </c>
      <c r="F163" s="59">
        <v>4000</v>
      </c>
      <c r="G163" s="59">
        <v>999999</v>
      </c>
      <c r="H163" s="60">
        <f t="shared" si="9"/>
        <v>52.567824600000002</v>
      </c>
      <c r="I163" s="61">
        <v>0</v>
      </c>
      <c r="J163" s="74"/>
      <c r="K163" s="75"/>
      <c r="L163" s="75"/>
      <c r="M163" s="76"/>
      <c r="N163" s="27"/>
      <c r="O163" s="27"/>
      <c r="P163" s="27"/>
      <c r="Q163" s="27"/>
      <c r="R163" s="27"/>
    </row>
    <row r="164" spans="1:18" ht="16.350000000000001" customHeight="1" x14ac:dyDescent="0.2">
      <c r="A164" s="42">
        <v>17</v>
      </c>
      <c r="B164" s="42">
        <v>30</v>
      </c>
      <c r="C164" s="42">
        <f>(Q158+'BLDG COMMENT'!$B$111)*1.844</f>
        <v>123.087</v>
      </c>
      <c r="D164" s="41" t="s">
        <v>1</v>
      </c>
      <c r="E164" s="41" t="s">
        <v>607</v>
      </c>
      <c r="F164" s="59">
        <v>0</v>
      </c>
      <c r="G164" s="59">
        <v>499</v>
      </c>
      <c r="H164" s="60">
        <f>((C164+$C$11+$B$29)*($B$5*$I$5)+33.25)</f>
        <v>145.69070429999999</v>
      </c>
      <c r="I164" s="61">
        <v>0</v>
      </c>
      <c r="J164" s="105" t="s">
        <v>601</v>
      </c>
      <c r="K164" s="106"/>
      <c r="L164" s="106"/>
      <c r="M164" s="107"/>
      <c r="N164" s="27"/>
      <c r="O164" s="27"/>
      <c r="P164" s="27"/>
      <c r="Q164" s="27"/>
      <c r="R164" s="27"/>
    </row>
    <row r="165" spans="1:18" ht="16.350000000000001" customHeight="1" x14ac:dyDescent="0.2">
      <c r="A165" s="42">
        <v>17</v>
      </c>
      <c r="B165" s="42">
        <v>30</v>
      </c>
      <c r="C165" s="42">
        <f>(Q158+'BLDG COMMENT'!$B$111)*1.489</f>
        <v>99.390750000000011</v>
      </c>
      <c r="D165" s="41" t="s">
        <v>1</v>
      </c>
      <c r="E165" s="41" t="s">
        <v>607</v>
      </c>
      <c r="F165" s="59">
        <v>500</v>
      </c>
      <c r="G165" s="59">
        <f>+F166-1</f>
        <v>749</v>
      </c>
      <c r="H165" s="60">
        <f t="shared" ref="H165:H173" si="11">((C165+$C$11+$B$29)*($B$5*$I$5)+33.25)</f>
        <v>124.39014517500001</v>
      </c>
      <c r="I165" s="61">
        <v>0</v>
      </c>
      <c r="J165" s="108"/>
      <c r="K165" s="109"/>
      <c r="L165" s="109"/>
      <c r="M165" s="110"/>
      <c r="N165" s="27"/>
      <c r="O165" s="27"/>
      <c r="P165" s="27"/>
      <c r="Q165" s="27"/>
      <c r="R165" s="27"/>
    </row>
    <row r="166" spans="1:18" ht="16.350000000000001" customHeight="1" x14ac:dyDescent="0.2">
      <c r="A166" s="42">
        <v>17</v>
      </c>
      <c r="B166" s="42">
        <v>30</v>
      </c>
      <c r="C166" s="42">
        <f>(Q158+'BLDG COMMENT'!$B$111)*1.311</f>
        <v>87.509249999999994</v>
      </c>
      <c r="D166" s="41" t="s">
        <v>1</v>
      </c>
      <c r="E166" s="41" t="s">
        <v>607</v>
      </c>
      <c r="F166" s="59">
        <v>750</v>
      </c>
      <c r="G166" s="59">
        <f t="shared" ref="G166:G172" si="12">+F167-1</f>
        <v>999</v>
      </c>
      <c r="H166" s="60">
        <f t="shared" si="11"/>
        <v>113.709864825</v>
      </c>
      <c r="I166" s="61">
        <v>0</v>
      </c>
      <c r="J166" s="108"/>
      <c r="K166" s="109"/>
      <c r="L166" s="109"/>
      <c r="M166" s="110"/>
      <c r="N166" s="27"/>
      <c r="O166" s="27"/>
      <c r="P166" s="27"/>
      <c r="Q166" s="27"/>
      <c r="R166" s="27"/>
    </row>
    <row r="167" spans="1:18" ht="16.350000000000001" customHeight="1" x14ac:dyDescent="0.2">
      <c r="A167" s="42">
        <v>17</v>
      </c>
      <c r="B167" s="42">
        <v>30</v>
      </c>
      <c r="C167" s="42">
        <f>(Q158+'BLDG COMMENT'!$B$111)*1.133</f>
        <v>75.627750000000006</v>
      </c>
      <c r="D167" s="41" t="s">
        <v>1</v>
      </c>
      <c r="E167" s="41" t="s">
        <v>607</v>
      </c>
      <c r="F167" s="59">
        <v>1000</v>
      </c>
      <c r="G167" s="59">
        <f t="shared" si="12"/>
        <v>1499</v>
      </c>
      <c r="H167" s="60">
        <f t="shared" si="11"/>
        <v>103.02958447500001</v>
      </c>
      <c r="I167" s="61">
        <v>0</v>
      </c>
      <c r="J167" s="108"/>
      <c r="K167" s="109"/>
      <c r="L167" s="109"/>
      <c r="M167" s="110"/>
      <c r="N167" s="27"/>
      <c r="O167" s="27"/>
      <c r="P167" s="27"/>
      <c r="Q167" s="27"/>
      <c r="R167" s="27"/>
    </row>
    <row r="168" spans="1:18" ht="16.350000000000001" customHeight="1" x14ac:dyDescent="0.2">
      <c r="A168" s="42">
        <v>17</v>
      </c>
      <c r="B168" s="42">
        <v>30</v>
      </c>
      <c r="C168" s="42">
        <f>(Q158+'BLDG COMMENT'!$B$111)*1.044</f>
        <v>69.686999999999998</v>
      </c>
      <c r="D168" s="41" t="s">
        <v>1</v>
      </c>
      <c r="E168" s="41" t="s">
        <v>607</v>
      </c>
      <c r="F168" s="59">
        <v>1500</v>
      </c>
      <c r="G168" s="59">
        <f t="shared" si="12"/>
        <v>1999</v>
      </c>
      <c r="H168" s="60">
        <f t="shared" si="11"/>
        <v>97.689444300000005</v>
      </c>
      <c r="I168" s="61">
        <v>0</v>
      </c>
      <c r="J168" s="71"/>
      <c r="K168" s="54"/>
      <c r="L168" s="54"/>
      <c r="M168" s="72"/>
      <c r="N168" s="27"/>
      <c r="O168" s="27"/>
      <c r="P168" s="27"/>
      <c r="Q168" s="27"/>
      <c r="R168" s="27"/>
    </row>
    <row r="169" spans="1:18" ht="16.350000000000001" customHeight="1" x14ac:dyDescent="0.2">
      <c r="A169" s="42">
        <v>17</v>
      </c>
      <c r="B169" s="42">
        <v>30</v>
      </c>
      <c r="C169" s="42">
        <f>(Q158+'BLDG COMMENT'!$B$111)*0.991</f>
        <v>66.149249999999995</v>
      </c>
      <c r="D169" s="41" t="s">
        <v>1</v>
      </c>
      <c r="E169" s="41" t="s">
        <v>607</v>
      </c>
      <c r="F169" s="59">
        <v>2000</v>
      </c>
      <c r="G169" s="59">
        <f t="shared" si="12"/>
        <v>2499</v>
      </c>
      <c r="H169" s="60">
        <f t="shared" si="11"/>
        <v>94.509360824999987</v>
      </c>
      <c r="I169" s="61">
        <v>0</v>
      </c>
      <c r="J169" s="71"/>
      <c r="K169" s="54"/>
      <c r="L169" s="54"/>
      <c r="M169" s="72"/>
      <c r="N169" s="27"/>
      <c r="O169" s="27"/>
      <c r="P169" s="27"/>
      <c r="Q169" s="27"/>
      <c r="R169" s="27"/>
    </row>
    <row r="170" spans="1:18" ht="16.350000000000001" customHeight="1" x14ac:dyDescent="0.2">
      <c r="A170" s="42">
        <v>17</v>
      </c>
      <c r="B170" s="42">
        <v>30</v>
      </c>
      <c r="C170" s="42">
        <f>(Q158+'BLDG COMMENT'!$B$111)*0.995</f>
        <v>66.416250000000005</v>
      </c>
      <c r="D170" s="41" t="s">
        <v>1</v>
      </c>
      <c r="E170" s="41" t="s">
        <v>607</v>
      </c>
      <c r="F170" s="59">
        <v>2500</v>
      </c>
      <c r="G170" s="59">
        <f t="shared" si="12"/>
        <v>2999</v>
      </c>
      <c r="H170" s="60">
        <f t="shared" si="11"/>
        <v>94.749367125000006</v>
      </c>
      <c r="I170" s="61">
        <v>0</v>
      </c>
      <c r="J170" s="71"/>
      <c r="K170" s="54"/>
      <c r="L170" s="54"/>
      <c r="M170" s="72"/>
      <c r="N170" s="27"/>
      <c r="O170" s="27"/>
      <c r="P170" s="27"/>
      <c r="Q170" s="27"/>
      <c r="R170" s="27"/>
    </row>
    <row r="171" spans="1:18" ht="16.350000000000001" customHeight="1" x14ac:dyDescent="0.2">
      <c r="A171" s="42">
        <v>17</v>
      </c>
      <c r="B171" s="42">
        <v>30</v>
      </c>
      <c r="C171" s="42">
        <f>(Q158+'BLDG COMMENT'!$B$111)*0.931</f>
        <v>62.144250000000007</v>
      </c>
      <c r="D171" s="41" t="s">
        <v>1</v>
      </c>
      <c r="E171" s="41" t="s">
        <v>607</v>
      </c>
      <c r="F171" s="59">
        <v>3000</v>
      </c>
      <c r="G171" s="59">
        <f t="shared" si="12"/>
        <v>3499</v>
      </c>
      <c r="H171" s="60">
        <f t="shared" si="11"/>
        <v>90.909266325000004</v>
      </c>
      <c r="I171" s="61">
        <v>0</v>
      </c>
      <c r="J171" s="71"/>
      <c r="K171" s="54"/>
      <c r="L171" s="54"/>
      <c r="M171" s="72"/>
      <c r="N171" s="27"/>
      <c r="O171" s="27"/>
      <c r="P171" s="27"/>
      <c r="Q171" s="27"/>
      <c r="R171" s="27"/>
    </row>
    <row r="172" spans="1:18" ht="16.350000000000001" customHeight="1" x14ac:dyDescent="0.2">
      <c r="A172" s="42">
        <v>17</v>
      </c>
      <c r="B172" s="42">
        <v>30</v>
      </c>
      <c r="C172" s="42">
        <f>(Q158+'BLDG COMMENT'!$B$111)*0.911</f>
        <v>60.809249999999999</v>
      </c>
      <c r="D172" s="41" t="s">
        <v>1</v>
      </c>
      <c r="E172" s="41" t="s">
        <v>607</v>
      </c>
      <c r="F172" s="59">
        <v>3500</v>
      </c>
      <c r="G172" s="59">
        <f t="shared" si="12"/>
        <v>3999</v>
      </c>
      <c r="H172" s="60">
        <f t="shared" si="11"/>
        <v>89.70923482500001</v>
      </c>
      <c r="I172" s="61">
        <v>0</v>
      </c>
      <c r="J172" s="71"/>
      <c r="K172" s="54"/>
      <c r="L172" s="54"/>
      <c r="M172" s="72"/>
      <c r="N172" s="27"/>
      <c r="O172" s="27"/>
      <c r="P172" s="27"/>
      <c r="Q172" s="27"/>
      <c r="R172" s="27"/>
    </row>
    <row r="173" spans="1:18" ht="16.350000000000001" customHeight="1" x14ac:dyDescent="0.2">
      <c r="A173" s="42">
        <v>17</v>
      </c>
      <c r="B173" s="42">
        <v>30</v>
      </c>
      <c r="C173" s="42">
        <f>(Q158+'BLDG COMMENT'!$B$111)*0.884</f>
        <v>59.006999999999998</v>
      </c>
      <c r="D173" s="41" t="s">
        <v>1</v>
      </c>
      <c r="E173" s="41" t="s">
        <v>607</v>
      </c>
      <c r="F173" s="59">
        <v>4000</v>
      </c>
      <c r="G173" s="59">
        <v>999999</v>
      </c>
      <c r="H173" s="60">
        <f t="shared" si="11"/>
        <v>88.089192300000008</v>
      </c>
      <c r="I173" s="61">
        <v>0</v>
      </c>
      <c r="J173" s="74"/>
      <c r="K173" s="75"/>
      <c r="L173" s="75"/>
      <c r="M173" s="76"/>
      <c r="N173" s="27"/>
      <c r="O173" s="27"/>
      <c r="P173" s="27"/>
      <c r="Q173" s="27"/>
      <c r="R173" s="27"/>
    </row>
    <row r="174" spans="1:18" ht="16.350000000000001" customHeight="1" x14ac:dyDescent="0.2">
      <c r="A174" s="42">
        <v>17</v>
      </c>
      <c r="B174" s="42">
        <v>30</v>
      </c>
      <c r="C174" s="42">
        <f>(Q157+'BLDG COMMENT'!$B$111)*1.844</f>
        <v>146.59800000000001</v>
      </c>
      <c r="D174" s="41" t="s">
        <v>1</v>
      </c>
      <c r="E174" s="41" t="s">
        <v>608</v>
      </c>
      <c r="F174" s="59">
        <v>0</v>
      </c>
      <c r="G174" s="59">
        <v>499</v>
      </c>
      <c r="H174" s="60">
        <f>((C174+$C$11+$B$29)*($B$5*$I$5)+46)</f>
        <v>179.5747422</v>
      </c>
      <c r="I174" s="61">
        <v>0</v>
      </c>
      <c r="J174" s="105" t="s">
        <v>602</v>
      </c>
      <c r="K174" s="106"/>
      <c r="L174" s="106"/>
      <c r="M174" s="107"/>
      <c r="N174" s="27"/>
      <c r="O174" s="27"/>
      <c r="P174" s="27"/>
      <c r="Q174" s="27"/>
      <c r="R174" s="27"/>
    </row>
    <row r="175" spans="1:18" ht="16.350000000000001" customHeight="1" x14ac:dyDescent="0.2">
      <c r="A175" s="42">
        <v>17</v>
      </c>
      <c r="B175" s="42">
        <v>30</v>
      </c>
      <c r="C175" s="42">
        <f>(Q157+'BLDG COMMENT'!$B$111)*1.489</f>
        <v>118.3755</v>
      </c>
      <c r="D175" s="41" t="s">
        <v>1</v>
      </c>
      <c r="E175" s="41" t="s">
        <v>608</v>
      </c>
      <c r="F175" s="59">
        <v>500</v>
      </c>
      <c r="G175" s="59">
        <f>+F176-1</f>
        <v>749</v>
      </c>
      <c r="H175" s="60">
        <f t="shared" ref="H175:H183" si="13">((C175+$C$11+$B$29)*($B$5*$I$5)+46)</f>
        <v>154.20553695000001</v>
      </c>
      <c r="I175" s="61">
        <v>0</v>
      </c>
      <c r="J175" s="108"/>
      <c r="K175" s="109"/>
      <c r="L175" s="109"/>
      <c r="M175" s="110"/>
      <c r="N175" s="27"/>
      <c r="O175" s="27"/>
      <c r="P175" s="27"/>
      <c r="Q175" s="27"/>
      <c r="R175" s="27"/>
    </row>
    <row r="176" spans="1:18" ht="16.350000000000001" customHeight="1" x14ac:dyDescent="0.2">
      <c r="A176" s="42">
        <v>17</v>
      </c>
      <c r="B176" s="42">
        <v>30</v>
      </c>
      <c r="C176" s="42">
        <f>(Q157+'BLDG COMMENT'!$B$111)*1.311</f>
        <v>104.22449999999999</v>
      </c>
      <c r="D176" s="41" t="s">
        <v>1</v>
      </c>
      <c r="E176" s="41" t="s">
        <v>608</v>
      </c>
      <c r="F176" s="59">
        <v>750</v>
      </c>
      <c r="G176" s="59">
        <f t="shared" ref="G176:G182" si="14">+F177-1</f>
        <v>999</v>
      </c>
      <c r="H176" s="60">
        <f t="shared" si="13"/>
        <v>141.48520305</v>
      </c>
      <c r="I176" s="61">
        <v>0</v>
      </c>
      <c r="J176" s="108"/>
      <c r="K176" s="109"/>
      <c r="L176" s="109"/>
      <c r="M176" s="110"/>
      <c r="N176" s="27"/>
      <c r="O176" s="27"/>
      <c r="P176" s="27"/>
      <c r="Q176" s="27"/>
      <c r="R176" s="27"/>
    </row>
    <row r="177" spans="1:18" ht="16.350000000000001" customHeight="1" x14ac:dyDescent="0.2">
      <c r="A177" s="42">
        <v>17</v>
      </c>
      <c r="B177" s="42">
        <v>30</v>
      </c>
      <c r="C177" s="42">
        <f>(Q157+'BLDG COMMENT'!$B$111)*1.133</f>
        <v>90.073499999999996</v>
      </c>
      <c r="D177" s="41" t="s">
        <v>1</v>
      </c>
      <c r="E177" s="41" t="s">
        <v>608</v>
      </c>
      <c r="F177" s="59">
        <v>1000</v>
      </c>
      <c r="G177" s="59">
        <f t="shared" si="14"/>
        <v>1499</v>
      </c>
      <c r="H177" s="60">
        <f t="shared" si="13"/>
        <v>128.76486914999998</v>
      </c>
      <c r="I177" s="61">
        <v>0</v>
      </c>
      <c r="J177" s="71"/>
      <c r="K177" s="54"/>
      <c r="L177" s="54"/>
      <c r="M177" s="72"/>
      <c r="N177" s="27"/>
      <c r="O177" s="27"/>
      <c r="P177" s="27"/>
      <c r="Q177" s="27"/>
      <c r="R177" s="27"/>
    </row>
    <row r="178" spans="1:18" ht="16.350000000000001" customHeight="1" x14ac:dyDescent="0.2">
      <c r="A178" s="42">
        <v>17</v>
      </c>
      <c r="B178" s="42">
        <v>30</v>
      </c>
      <c r="C178" s="42">
        <f>(Q157+'BLDG COMMENT'!$B$111)*1.044</f>
        <v>82.998000000000005</v>
      </c>
      <c r="D178" s="41" t="s">
        <v>1</v>
      </c>
      <c r="E178" s="41" t="s">
        <v>608</v>
      </c>
      <c r="F178" s="59">
        <v>1500</v>
      </c>
      <c r="G178" s="59">
        <f t="shared" si="14"/>
        <v>1999</v>
      </c>
      <c r="H178" s="60">
        <f t="shared" si="13"/>
        <v>122.4047022</v>
      </c>
      <c r="I178" s="61">
        <v>0</v>
      </c>
      <c r="J178" s="71"/>
      <c r="K178" s="54"/>
      <c r="L178" s="54"/>
      <c r="M178" s="72"/>
      <c r="N178" s="27"/>
      <c r="O178" s="27"/>
      <c r="P178" s="27"/>
      <c r="Q178" s="27"/>
      <c r="R178" s="27"/>
    </row>
    <row r="179" spans="1:18" ht="16.350000000000001" customHeight="1" x14ac:dyDescent="0.2">
      <c r="A179" s="42">
        <v>17</v>
      </c>
      <c r="B179" s="42">
        <v>30</v>
      </c>
      <c r="C179" s="42">
        <f>(Q157+'BLDG COMMENT'!$B$111)*0.991</f>
        <v>78.784499999999994</v>
      </c>
      <c r="D179" s="41" t="s">
        <v>1</v>
      </c>
      <c r="E179" s="41" t="s">
        <v>608</v>
      </c>
      <c r="F179" s="59">
        <v>2000</v>
      </c>
      <c r="G179" s="59">
        <f t="shared" si="14"/>
        <v>2499</v>
      </c>
      <c r="H179" s="60">
        <f t="shared" si="13"/>
        <v>118.61718705</v>
      </c>
      <c r="I179" s="61">
        <v>0</v>
      </c>
      <c r="J179" s="71"/>
      <c r="K179" s="54"/>
      <c r="L179" s="54"/>
      <c r="M179" s="72"/>
      <c r="N179" s="27"/>
      <c r="O179" s="27"/>
      <c r="P179" s="27"/>
      <c r="Q179" s="27"/>
      <c r="R179" s="27"/>
    </row>
    <row r="180" spans="1:18" ht="16.350000000000001" customHeight="1" x14ac:dyDescent="0.2">
      <c r="A180" s="42">
        <v>17</v>
      </c>
      <c r="B180" s="42">
        <v>30</v>
      </c>
      <c r="C180" s="42">
        <f>(Q157+'BLDG COMMENT'!$B$111)*0.995</f>
        <v>79.102500000000006</v>
      </c>
      <c r="D180" s="41" t="s">
        <v>1</v>
      </c>
      <c r="E180" s="41" t="s">
        <v>608</v>
      </c>
      <c r="F180" s="59">
        <v>2500</v>
      </c>
      <c r="G180" s="59">
        <f t="shared" si="14"/>
        <v>2999</v>
      </c>
      <c r="H180" s="60">
        <f t="shared" si="13"/>
        <v>118.90303725000001</v>
      </c>
      <c r="I180" s="61">
        <v>0</v>
      </c>
      <c r="J180" s="71"/>
      <c r="K180" s="54"/>
      <c r="L180" s="54"/>
      <c r="M180" s="72"/>
      <c r="N180" s="27"/>
      <c r="O180" s="27"/>
      <c r="P180" s="27"/>
      <c r="Q180" s="27"/>
      <c r="R180" s="27"/>
    </row>
    <row r="181" spans="1:18" ht="16.350000000000001" customHeight="1" x14ac:dyDescent="0.2">
      <c r="A181" s="42">
        <v>17</v>
      </c>
      <c r="B181" s="42">
        <v>30</v>
      </c>
      <c r="C181" s="42">
        <f>(Q157+'BLDG COMMENT'!$B$111)*0.931</f>
        <v>74.014499999999998</v>
      </c>
      <c r="D181" s="41" t="s">
        <v>1</v>
      </c>
      <c r="E181" s="41" t="s">
        <v>608</v>
      </c>
      <c r="F181" s="59">
        <v>3000</v>
      </c>
      <c r="G181" s="59">
        <f t="shared" si="14"/>
        <v>3499</v>
      </c>
      <c r="H181" s="60">
        <f t="shared" si="13"/>
        <v>114.32943405</v>
      </c>
      <c r="I181" s="61">
        <v>0</v>
      </c>
      <c r="J181" s="71"/>
      <c r="K181" s="54"/>
      <c r="L181" s="54"/>
      <c r="M181" s="72"/>
      <c r="N181" s="27"/>
      <c r="O181" s="27"/>
      <c r="P181" s="27"/>
      <c r="Q181" s="27"/>
      <c r="R181" s="27"/>
    </row>
    <row r="182" spans="1:18" ht="16.350000000000001" customHeight="1" x14ac:dyDescent="0.2">
      <c r="A182" s="42">
        <v>17</v>
      </c>
      <c r="B182" s="42">
        <v>30</v>
      </c>
      <c r="C182" s="42">
        <f>(Q157+'BLDG COMMENT'!$B$111)*0.911</f>
        <v>72.424500000000009</v>
      </c>
      <c r="D182" s="41" t="s">
        <v>1</v>
      </c>
      <c r="E182" s="41" t="s">
        <v>608</v>
      </c>
      <c r="F182" s="59">
        <v>3500</v>
      </c>
      <c r="G182" s="59">
        <f t="shared" si="14"/>
        <v>3999</v>
      </c>
      <c r="H182" s="60">
        <f t="shared" si="13"/>
        <v>112.90018305000001</v>
      </c>
      <c r="I182" s="61">
        <v>0</v>
      </c>
      <c r="J182" s="71"/>
      <c r="K182" s="54"/>
      <c r="L182" s="54"/>
      <c r="M182" s="72"/>
      <c r="N182" s="27"/>
      <c r="O182" s="27"/>
      <c r="P182" s="27"/>
      <c r="Q182" s="27"/>
      <c r="R182" s="27"/>
    </row>
    <row r="183" spans="1:18" ht="16.350000000000001" customHeight="1" x14ac:dyDescent="0.2">
      <c r="A183" s="42">
        <v>17</v>
      </c>
      <c r="B183" s="42">
        <v>30</v>
      </c>
      <c r="C183" s="42">
        <f>(Q157+'BLDG COMMENT'!$B$111)*0.884</f>
        <v>70.278000000000006</v>
      </c>
      <c r="D183" s="41" t="s">
        <v>1</v>
      </c>
      <c r="E183" s="41" t="s">
        <v>608</v>
      </c>
      <c r="F183" s="59">
        <v>4000</v>
      </c>
      <c r="G183" s="59">
        <v>999999</v>
      </c>
      <c r="H183" s="60">
        <f t="shared" si="13"/>
        <v>110.97069420000001</v>
      </c>
      <c r="I183" s="61">
        <v>0</v>
      </c>
      <c r="J183" s="74"/>
      <c r="K183" s="75"/>
      <c r="L183" s="75"/>
      <c r="M183" s="76"/>
      <c r="N183" s="27"/>
      <c r="O183" s="27"/>
      <c r="P183" s="27"/>
      <c r="Q183" s="27"/>
      <c r="R183" s="27"/>
    </row>
    <row r="184" spans="1:18" ht="16.350000000000001" customHeight="1" x14ac:dyDescent="0.2">
      <c r="A184" s="42">
        <v>17</v>
      </c>
      <c r="B184" s="42">
        <v>30</v>
      </c>
      <c r="C184" s="42">
        <f>(Q156+'BLDG COMMENT'!$B$111)*1.844</f>
        <v>189.61160500000003</v>
      </c>
      <c r="D184" s="41" t="s">
        <v>1</v>
      </c>
      <c r="E184" s="41" t="s">
        <v>609</v>
      </c>
      <c r="F184" s="59">
        <v>0</v>
      </c>
      <c r="G184" s="59">
        <v>499</v>
      </c>
      <c r="H184" s="60">
        <f>((C184+$C$11+$B$29)*($B$5*$I$5)+69.33)</f>
        <v>241.56967173450005</v>
      </c>
      <c r="I184" s="61">
        <v>0</v>
      </c>
      <c r="J184" s="105" t="s">
        <v>603</v>
      </c>
      <c r="K184" s="106"/>
      <c r="L184" s="106"/>
      <c r="M184" s="107"/>
      <c r="N184" s="27"/>
      <c r="O184" s="27"/>
      <c r="P184" s="27"/>
      <c r="Q184" s="27"/>
      <c r="R184" s="27"/>
    </row>
    <row r="185" spans="1:18" ht="16.350000000000001" customHeight="1" x14ac:dyDescent="0.2">
      <c r="A185" s="42">
        <v>17</v>
      </c>
      <c r="B185" s="42">
        <v>30</v>
      </c>
      <c r="C185" s="42">
        <f>(Q156+'BLDG COMMENT'!$B$111)*1.489</f>
        <v>153.10828625000002</v>
      </c>
      <c r="D185" s="41" t="s">
        <v>1</v>
      </c>
      <c r="E185" s="41" t="s">
        <v>609</v>
      </c>
      <c r="F185" s="59">
        <v>500</v>
      </c>
      <c r="G185" s="59">
        <f>+F186-1</f>
        <v>749</v>
      </c>
      <c r="H185" s="60">
        <f t="shared" ref="H185:H193" si="15">((C185+$C$11+$B$29)*($B$5*$I$5)+69.33)</f>
        <v>208.75683851012502</v>
      </c>
      <c r="I185" s="61">
        <v>0</v>
      </c>
      <c r="J185" s="108"/>
      <c r="K185" s="109"/>
      <c r="L185" s="109"/>
      <c r="M185" s="110"/>
      <c r="N185" s="27"/>
      <c r="O185" s="27"/>
      <c r="P185" s="27"/>
      <c r="Q185" s="27"/>
      <c r="R185" s="27"/>
    </row>
    <row r="186" spans="1:18" ht="16.350000000000001" customHeight="1" x14ac:dyDescent="0.2">
      <c r="A186" s="42">
        <v>17</v>
      </c>
      <c r="B186" s="42">
        <v>30</v>
      </c>
      <c r="C186" s="42">
        <f>(Q156+'BLDG COMMENT'!$B$111)*1.311</f>
        <v>134.80521375000001</v>
      </c>
      <c r="D186" s="41" t="s">
        <v>1</v>
      </c>
      <c r="E186" s="41" t="s">
        <v>609</v>
      </c>
      <c r="F186" s="59">
        <v>750</v>
      </c>
      <c r="G186" s="59">
        <f t="shared" ref="G186:G192" si="16">+F187-1</f>
        <v>999</v>
      </c>
      <c r="H186" s="60">
        <f t="shared" si="15"/>
        <v>192.30420663987502</v>
      </c>
      <c r="I186" s="61">
        <v>0</v>
      </c>
      <c r="J186" s="108"/>
      <c r="K186" s="109"/>
      <c r="L186" s="109"/>
      <c r="M186" s="110"/>
      <c r="N186" s="27"/>
      <c r="O186" s="27"/>
      <c r="P186" s="27"/>
      <c r="Q186" s="27"/>
      <c r="R186" s="27"/>
    </row>
    <row r="187" spans="1:18" ht="16.350000000000001" customHeight="1" x14ac:dyDescent="0.2">
      <c r="A187" s="42">
        <v>17</v>
      </c>
      <c r="B187" s="42">
        <v>30</v>
      </c>
      <c r="C187" s="42">
        <f>(Q156+'BLDG COMMENT'!$B$111)*1.133</f>
        <v>116.50214125000001</v>
      </c>
      <c r="D187" s="41" t="s">
        <v>1</v>
      </c>
      <c r="E187" s="41" t="s">
        <v>609</v>
      </c>
      <c r="F187" s="59">
        <v>1000</v>
      </c>
      <c r="G187" s="59">
        <f t="shared" si="16"/>
        <v>1499</v>
      </c>
      <c r="H187" s="60">
        <f t="shared" si="15"/>
        <v>175.85157476962502</v>
      </c>
      <c r="I187" s="61">
        <v>0</v>
      </c>
      <c r="J187" s="71"/>
      <c r="K187" s="54"/>
      <c r="L187" s="54"/>
      <c r="M187" s="72"/>
      <c r="N187" s="27"/>
      <c r="O187" s="27"/>
      <c r="P187" s="27"/>
      <c r="Q187" s="27"/>
      <c r="R187" s="27"/>
    </row>
    <row r="188" spans="1:18" ht="16.350000000000001" customHeight="1" x14ac:dyDescent="0.2">
      <c r="A188" s="42">
        <v>17</v>
      </c>
      <c r="B188" s="42">
        <v>30</v>
      </c>
      <c r="C188" s="42">
        <f>(Q156+'BLDG COMMENT'!$B$111)*1.044</f>
        <v>107.350605</v>
      </c>
      <c r="D188" s="41" t="s">
        <v>1</v>
      </c>
      <c r="E188" s="41" t="s">
        <v>609</v>
      </c>
      <c r="F188" s="59">
        <v>1500</v>
      </c>
      <c r="G188" s="59">
        <f t="shared" si="16"/>
        <v>1999</v>
      </c>
      <c r="H188" s="60">
        <f t="shared" si="15"/>
        <v>167.62525883450002</v>
      </c>
      <c r="I188" s="61">
        <v>0</v>
      </c>
      <c r="J188" s="71"/>
      <c r="K188" s="54"/>
      <c r="L188" s="54"/>
      <c r="M188" s="72"/>
      <c r="N188" s="27"/>
      <c r="O188" s="27"/>
      <c r="P188" s="27"/>
      <c r="Q188" s="27"/>
      <c r="R188" s="27"/>
    </row>
    <row r="189" spans="1:18" ht="16.350000000000001" customHeight="1" x14ac:dyDescent="0.2">
      <c r="A189" s="42">
        <v>17</v>
      </c>
      <c r="B189" s="42">
        <v>30</v>
      </c>
      <c r="C189" s="42">
        <f>(Q156+'BLDG COMMENT'!$B$111)*0.991</f>
        <v>101.90081375</v>
      </c>
      <c r="D189" s="41" t="s">
        <v>1</v>
      </c>
      <c r="E189" s="41" t="s">
        <v>609</v>
      </c>
      <c r="F189" s="59">
        <v>2000</v>
      </c>
      <c r="G189" s="59">
        <f t="shared" si="16"/>
        <v>2499</v>
      </c>
      <c r="H189" s="60">
        <f t="shared" si="15"/>
        <v>162.72644147987501</v>
      </c>
      <c r="I189" s="61">
        <v>0</v>
      </c>
      <c r="J189" s="71"/>
      <c r="K189" s="54"/>
      <c r="L189" s="54"/>
      <c r="M189" s="72"/>
      <c r="N189" s="27"/>
      <c r="O189" s="27"/>
      <c r="P189" s="27"/>
      <c r="Q189" s="27"/>
      <c r="R189" s="27"/>
    </row>
    <row r="190" spans="1:18" ht="16.350000000000001" customHeight="1" x14ac:dyDescent="0.2">
      <c r="A190" s="42">
        <v>17</v>
      </c>
      <c r="B190" s="42">
        <v>30</v>
      </c>
      <c r="C190" s="42">
        <f>(Q156+'BLDG COMMENT'!$B$111)*0.995</f>
        <v>102.31211875</v>
      </c>
      <c r="D190" s="41" t="s">
        <v>1</v>
      </c>
      <c r="E190" s="41" t="s">
        <v>609</v>
      </c>
      <c r="F190" s="59">
        <v>2500</v>
      </c>
      <c r="G190" s="59">
        <f t="shared" si="16"/>
        <v>2999</v>
      </c>
      <c r="H190" s="60">
        <f t="shared" si="15"/>
        <v>163.096163544375</v>
      </c>
      <c r="I190" s="61">
        <v>0</v>
      </c>
      <c r="J190" s="71"/>
      <c r="K190" s="54"/>
      <c r="L190" s="54"/>
      <c r="M190" s="72"/>
      <c r="N190" s="27"/>
      <c r="O190" s="27"/>
      <c r="P190" s="27"/>
      <c r="Q190" s="27"/>
      <c r="R190" s="27"/>
    </row>
    <row r="191" spans="1:18" ht="16.350000000000001" customHeight="1" x14ac:dyDescent="0.2">
      <c r="A191" s="42">
        <v>17</v>
      </c>
      <c r="B191" s="42">
        <v>30</v>
      </c>
      <c r="C191" s="42">
        <f>(Q156+'BLDG COMMENT'!$B$111)*0.931</f>
        <v>95.731238750000003</v>
      </c>
      <c r="D191" s="41" t="s">
        <v>1</v>
      </c>
      <c r="E191" s="41" t="s">
        <v>609</v>
      </c>
      <c r="F191" s="59">
        <v>3000</v>
      </c>
      <c r="G191" s="59">
        <f t="shared" si="16"/>
        <v>3499</v>
      </c>
      <c r="H191" s="60">
        <f t="shared" si="15"/>
        <v>157.18061051237498</v>
      </c>
      <c r="I191" s="61">
        <v>0</v>
      </c>
      <c r="J191" s="71"/>
      <c r="K191" s="54"/>
      <c r="L191" s="54"/>
      <c r="M191" s="72"/>
      <c r="N191" s="27"/>
      <c r="O191" s="27"/>
      <c r="P191" s="27"/>
      <c r="Q191" s="27"/>
      <c r="R191" s="27"/>
    </row>
    <row r="192" spans="1:18" ht="16.350000000000001" customHeight="1" x14ac:dyDescent="0.2">
      <c r="A192" s="42">
        <v>17</v>
      </c>
      <c r="B192" s="42">
        <v>30</v>
      </c>
      <c r="C192" s="42">
        <f>(Q156+'BLDG COMMENT'!$B$111)*0.911</f>
        <v>93.674713750000009</v>
      </c>
      <c r="D192" s="41" t="s">
        <v>1</v>
      </c>
      <c r="E192" s="41" t="s">
        <v>609</v>
      </c>
      <c r="F192" s="59">
        <v>3500</v>
      </c>
      <c r="G192" s="59">
        <f t="shared" si="16"/>
        <v>3999</v>
      </c>
      <c r="H192" s="60">
        <f t="shared" si="15"/>
        <v>155.332000189875</v>
      </c>
      <c r="I192" s="61">
        <v>0</v>
      </c>
      <c r="J192" s="71"/>
      <c r="K192" s="54"/>
      <c r="L192" s="54"/>
      <c r="M192" s="72"/>
      <c r="N192" s="27"/>
      <c r="O192" s="27"/>
      <c r="P192" s="27"/>
      <c r="Q192" s="27"/>
      <c r="R192" s="27"/>
    </row>
    <row r="193" spans="1:18" ht="16.350000000000001" customHeight="1" x14ac:dyDescent="0.2">
      <c r="A193" s="42">
        <v>17</v>
      </c>
      <c r="B193" s="42">
        <v>30</v>
      </c>
      <c r="C193" s="42">
        <f>(Q156+'BLDG COMMENT'!$B$111)*0.884</f>
        <v>90.898404999999997</v>
      </c>
      <c r="D193" s="41" t="s">
        <v>1</v>
      </c>
      <c r="E193" s="41" t="s">
        <v>609</v>
      </c>
      <c r="F193" s="59">
        <v>4000</v>
      </c>
      <c r="G193" s="59">
        <v>999999</v>
      </c>
      <c r="H193" s="60">
        <f t="shared" si="15"/>
        <v>152.83637625450001</v>
      </c>
      <c r="I193" s="61">
        <v>0</v>
      </c>
      <c r="J193" s="74"/>
      <c r="K193" s="75"/>
      <c r="L193" s="75"/>
      <c r="M193" s="76"/>
      <c r="N193" s="27"/>
      <c r="O193" s="27"/>
      <c r="P193" s="27"/>
      <c r="Q193" s="27"/>
      <c r="R193" s="27"/>
    </row>
    <row r="194" spans="1:18" ht="16.350000000000001" customHeight="1" x14ac:dyDescent="0.2">
      <c r="D194" s="27"/>
      <c r="E194" s="27"/>
      <c r="F194" s="64"/>
      <c r="G194" s="64"/>
      <c r="H194" s="65"/>
      <c r="I194" s="26"/>
      <c r="J194" s="54"/>
      <c r="K194" s="54"/>
      <c r="L194" s="54"/>
      <c r="M194" s="54"/>
      <c r="N194" s="27"/>
      <c r="O194" s="27"/>
      <c r="P194" s="27"/>
      <c r="Q194" s="27"/>
      <c r="R194" s="27"/>
    </row>
    <row r="195" spans="1:18" ht="16.350000000000001" customHeight="1" x14ac:dyDescent="0.2">
      <c r="D195" s="27"/>
      <c r="E195" s="27"/>
      <c r="F195" s="64"/>
      <c r="G195" s="64"/>
      <c r="H195" s="65"/>
      <c r="I195" s="26"/>
      <c r="J195" s="54"/>
      <c r="K195" s="54"/>
      <c r="L195" s="54"/>
      <c r="M195" s="54"/>
      <c r="N195" s="27"/>
      <c r="O195" s="27"/>
      <c r="P195" s="27"/>
      <c r="Q195" s="27"/>
      <c r="R195" s="27"/>
    </row>
    <row r="196" spans="1:18" ht="16.350000000000001" customHeight="1" x14ac:dyDescent="0.2">
      <c r="D196" s="27"/>
      <c r="E196" s="27"/>
      <c r="F196" s="64"/>
      <c r="G196" s="64"/>
      <c r="H196" s="65"/>
      <c r="I196" s="26"/>
      <c r="J196" s="54"/>
      <c r="K196" s="54"/>
      <c r="L196" s="54"/>
      <c r="M196" s="54"/>
      <c r="N196" s="27"/>
      <c r="O196" s="27"/>
      <c r="P196" s="27"/>
      <c r="Q196" s="27"/>
      <c r="R196" s="27"/>
    </row>
    <row r="197" spans="1:18" ht="16.350000000000001" customHeight="1" x14ac:dyDescent="0.2">
      <c r="D197" s="27"/>
      <c r="E197" s="27"/>
      <c r="F197" s="64"/>
      <c r="G197" s="64"/>
      <c r="H197" s="65"/>
      <c r="I197" s="26"/>
      <c r="J197" s="54"/>
      <c r="K197" s="54"/>
      <c r="L197" s="54"/>
      <c r="M197" s="54"/>
      <c r="N197" s="27"/>
      <c r="O197" s="27"/>
      <c r="P197" s="27"/>
      <c r="Q197" s="27"/>
      <c r="R197" s="27"/>
    </row>
    <row r="198" spans="1:18" ht="16.350000000000001" customHeight="1" x14ac:dyDescent="0.2">
      <c r="D198" s="27"/>
      <c r="E198" s="27"/>
      <c r="F198" s="64"/>
      <c r="G198" s="64"/>
      <c r="H198" s="65"/>
      <c r="I198" s="26"/>
      <c r="J198" s="54"/>
      <c r="K198" s="54"/>
      <c r="L198" s="54"/>
      <c r="M198" s="54"/>
      <c r="N198" s="27"/>
      <c r="O198" s="27"/>
      <c r="P198" s="27"/>
      <c r="Q198" s="27"/>
      <c r="R198" s="27"/>
    </row>
    <row r="199" spans="1:18" ht="16.350000000000001" customHeight="1" x14ac:dyDescent="0.2">
      <c r="D199" s="27"/>
      <c r="E199" s="27"/>
      <c r="F199" s="64"/>
      <c r="G199" s="64"/>
      <c r="H199" s="65"/>
      <c r="I199" s="26"/>
      <c r="J199" s="54"/>
      <c r="K199" s="54"/>
      <c r="L199" s="54"/>
      <c r="M199" s="54"/>
      <c r="N199" s="27"/>
      <c r="O199" s="27"/>
      <c r="P199" s="27"/>
      <c r="Q199" s="27"/>
      <c r="R199" s="27"/>
    </row>
    <row r="200" spans="1:18" ht="16.350000000000001" customHeight="1" x14ac:dyDescent="0.2">
      <c r="D200" s="27"/>
      <c r="E200" s="27"/>
      <c r="F200" s="64"/>
      <c r="G200" s="64"/>
      <c r="H200" s="65"/>
      <c r="I200" s="26"/>
      <c r="J200" s="54"/>
      <c r="K200" s="54"/>
      <c r="L200" s="54"/>
      <c r="M200" s="54"/>
      <c r="N200" s="27"/>
      <c r="O200" s="27"/>
      <c r="P200" s="27"/>
      <c r="Q200" s="27"/>
      <c r="R200" s="27"/>
    </row>
    <row r="201" spans="1:18" ht="16.350000000000001" customHeight="1" x14ac:dyDescent="0.2">
      <c r="D201" s="27"/>
      <c r="E201" s="27"/>
      <c r="F201" s="64"/>
      <c r="G201" s="64"/>
      <c r="H201" s="65"/>
      <c r="I201" s="26"/>
      <c r="J201" s="54"/>
      <c r="K201" s="54"/>
      <c r="L201" s="54"/>
      <c r="M201" s="54"/>
      <c r="N201" s="27"/>
      <c r="O201" s="27"/>
      <c r="P201" s="27"/>
      <c r="Q201" s="27"/>
      <c r="R201" s="27"/>
    </row>
    <row r="202" spans="1:18" ht="16.350000000000001" customHeight="1" x14ac:dyDescent="0.2">
      <c r="D202" s="27"/>
      <c r="E202" s="27"/>
      <c r="F202" s="64"/>
      <c r="G202" s="64"/>
      <c r="H202" s="65"/>
      <c r="I202" s="26"/>
      <c r="J202" s="54"/>
      <c r="K202" s="54"/>
      <c r="L202" s="54"/>
      <c r="M202" s="54"/>
      <c r="N202" s="27"/>
      <c r="O202" s="27"/>
      <c r="P202" s="27"/>
      <c r="Q202" s="27"/>
      <c r="R202" s="27"/>
    </row>
    <row r="203" spans="1:18" ht="16.350000000000001" customHeight="1" x14ac:dyDescent="0.2">
      <c r="A203" s="55" t="s">
        <v>389</v>
      </c>
      <c r="B203" s="55" t="s">
        <v>390</v>
      </c>
      <c r="C203" s="55" t="s">
        <v>391</v>
      </c>
      <c r="D203" s="56" t="s">
        <v>2</v>
      </c>
      <c r="E203" s="55" t="s">
        <v>334</v>
      </c>
      <c r="F203" s="66" t="s">
        <v>333</v>
      </c>
      <c r="G203" s="66" t="s">
        <v>333</v>
      </c>
      <c r="H203" s="57" t="s">
        <v>335</v>
      </c>
      <c r="I203" s="58" t="s">
        <v>336</v>
      </c>
      <c r="J203" s="95" t="s">
        <v>0</v>
      </c>
      <c r="K203" s="95"/>
      <c r="L203" s="95"/>
      <c r="M203" s="95"/>
      <c r="N203" s="27"/>
      <c r="O203" s="27"/>
      <c r="P203" s="27"/>
      <c r="Q203" s="27"/>
      <c r="R203" s="27"/>
    </row>
    <row r="204" spans="1:18" ht="16.350000000000001" customHeight="1" x14ac:dyDescent="0.2">
      <c r="A204" s="77" t="s">
        <v>544</v>
      </c>
      <c r="B204" s="77" t="s">
        <v>545</v>
      </c>
      <c r="C204" s="77">
        <f>$O$205*1.137</f>
        <v>91.381790322580656</v>
      </c>
      <c r="D204" s="36" t="s">
        <v>1</v>
      </c>
      <c r="E204" s="36" t="s">
        <v>197</v>
      </c>
      <c r="F204" s="78">
        <v>0</v>
      </c>
      <c r="G204" s="78">
        <v>599</v>
      </c>
      <c r="H204" s="79">
        <f>((C204+$C$11+$B$29)*($B$6*$C$6))</f>
        <v>83.940891320967751</v>
      </c>
      <c r="I204" s="80">
        <v>0</v>
      </c>
      <c r="J204" s="104" t="s">
        <v>444</v>
      </c>
      <c r="K204" s="104"/>
      <c r="L204" s="104"/>
      <c r="M204" s="104"/>
      <c r="N204" s="27"/>
      <c r="O204" s="27" t="s">
        <v>492</v>
      </c>
      <c r="P204" s="27"/>
      <c r="Q204" s="27"/>
      <c r="R204" s="27"/>
    </row>
    <row r="205" spans="1:18" ht="16.350000000000001" customHeight="1" x14ac:dyDescent="0.2">
      <c r="A205" s="77" t="s">
        <v>544</v>
      </c>
      <c r="B205" s="77" t="s">
        <v>545</v>
      </c>
      <c r="C205" s="42">
        <f>$O$205*1.074</f>
        <v>86.318419354838724</v>
      </c>
      <c r="D205" s="41" t="s">
        <v>1</v>
      </c>
      <c r="E205" s="41" t="s">
        <v>197</v>
      </c>
      <c r="F205" s="59">
        <v>600</v>
      </c>
      <c r="G205" s="59">
        <v>799</v>
      </c>
      <c r="H205" s="60">
        <f>((C205+$C$11+$B$29)*($B$6*$C$6))</f>
        <v>79.389427158064535</v>
      </c>
      <c r="I205" s="61">
        <v>0</v>
      </c>
      <c r="J205" s="94" t="s">
        <v>444</v>
      </c>
      <c r="K205" s="94"/>
      <c r="L205" s="94"/>
      <c r="M205" s="94"/>
      <c r="N205" s="27"/>
      <c r="O205" s="62">
        <f>132*(75.5/124)</f>
        <v>80.370967741935488</v>
      </c>
      <c r="P205" s="27" t="s">
        <v>493</v>
      </c>
      <c r="Q205" s="27"/>
      <c r="R205" s="27"/>
    </row>
    <row r="206" spans="1:18" ht="16.350000000000001" customHeight="1" x14ac:dyDescent="0.2">
      <c r="A206" s="77" t="s">
        <v>544</v>
      </c>
      <c r="B206" s="77" t="s">
        <v>545</v>
      </c>
      <c r="C206" s="42">
        <f>$O$205*1.031</f>
        <v>82.862467741935475</v>
      </c>
      <c r="D206" s="41" t="s">
        <v>1</v>
      </c>
      <c r="E206" s="41" t="s">
        <v>197</v>
      </c>
      <c r="F206" s="59">
        <v>800</v>
      </c>
      <c r="G206" s="59">
        <v>999</v>
      </c>
      <c r="H206" s="60">
        <f>((C206+$C$11+$B$29)*($B$6*$C$6))</f>
        <v>76.282872253225804</v>
      </c>
      <c r="I206" s="61">
        <v>0</v>
      </c>
      <c r="J206" s="94" t="s">
        <v>444</v>
      </c>
      <c r="K206" s="94"/>
      <c r="L206" s="94"/>
      <c r="M206" s="94"/>
      <c r="N206" s="27"/>
      <c r="O206" s="27" t="s">
        <v>494</v>
      </c>
      <c r="P206" s="27"/>
      <c r="Q206" s="27"/>
      <c r="R206" s="27"/>
    </row>
    <row r="207" spans="1:18" ht="16.350000000000001" customHeight="1" x14ac:dyDescent="0.2">
      <c r="A207" s="77" t="s">
        <v>544</v>
      </c>
      <c r="B207" s="77" t="s">
        <v>545</v>
      </c>
      <c r="C207" s="42">
        <f>$O$205*1</f>
        <v>80.370967741935488</v>
      </c>
      <c r="D207" s="41" t="s">
        <v>1</v>
      </c>
      <c r="E207" s="41" t="s">
        <v>197</v>
      </c>
      <c r="F207" s="59">
        <v>1000</v>
      </c>
      <c r="G207" s="59">
        <v>1199</v>
      </c>
      <c r="H207" s="60">
        <f>((C207+$C$11+$B$29)*($B$6*$C$6))</f>
        <v>74.043262903225809</v>
      </c>
      <c r="I207" s="61">
        <v>0</v>
      </c>
      <c r="J207" s="94" t="s">
        <v>444</v>
      </c>
      <c r="K207" s="94"/>
      <c r="L207" s="94"/>
      <c r="M207" s="94"/>
      <c r="N207" s="27"/>
      <c r="O207" s="27"/>
      <c r="P207" s="27"/>
      <c r="Q207" s="27"/>
      <c r="R207" s="27"/>
    </row>
    <row r="208" spans="1:18" ht="16.350000000000001" customHeight="1" x14ac:dyDescent="0.2">
      <c r="A208" s="77" t="s">
        <v>544</v>
      </c>
      <c r="B208" s="77" t="s">
        <v>545</v>
      </c>
      <c r="C208" s="42">
        <f>$O$205*0.974</f>
        <v>78.281322580645167</v>
      </c>
      <c r="D208" s="41" t="s">
        <v>1</v>
      </c>
      <c r="E208" s="41" t="s">
        <v>197</v>
      </c>
      <c r="F208" s="59">
        <v>1200</v>
      </c>
      <c r="G208" s="59">
        <v>1399</v>
      </c>
      <c r="H208" s="60">
        <f t="shared" ref="H208:H212" si="17">((C208+$C$11+$B$29)*($B$6*$C$6))</f>
        <v>72.164880867741942</v>
      </c>
      <c r="I208" s="61">
        <v>0</v>
      </c>
      <c r="J208" s="94" t="s">
        <v>444</v>
      </c>
      <c r="K208" s="94"/>
      <c r="L208" s="94"/>
      <c r="M208" s="94"/>
      <c r="N208" s="27"/>
      <c r="O208" s="27"/>
      <c r="P208" s="27"/>
      <c r="Q208" s="27"/>
      <c r="R208" s="27"/>
    </row>
    <row r="209" spans="1:18" ht="16.350000000000001" customHeight="1" x14ac:dyDescent="0.2">
      <c r="A209" s="77" t="s">
        <v>544</v>
      </c>
      <c r="B209" s="77" t="s">
        <v>545</v>
      </c>
      <c r="C209" s="42">
        <f>$O$205*0.954</f>
        <v>76.673903225806455</v>
      </c>
      <c r="D209" s="41" t="s">
        <v>1</v>
      </c>
      <c r="E209" s="41" t="s">
        <v>197</v>
      </c>
      <c r="F209" s="59">
        <v>1400</v>
      </c>
      <c r="G209" s="59">
        <v>1799</v>
      </c>
      <c r="H209" s="60">
        <f t="shared" si="17"/>
        <v>70.71997160967743</v>
      </c>
      <c r="I209" s="61">
        <v>0</v>
      </c>
      <c r="J209" s="94" t="s">
        <v>444</v>
      </c>
      <c r="K209" s="94"/>
      <c r="L209" s="94"/>
      <c r="M209" s="94"/>
      <c r="N209" s="27"/>
      <c r="O209" s="27"/>
      <c r="P209" s="27"/>
      <c r="Q209" s="27"/>
      <c r="R209" s="27"/>
    </row>
    <row r="210" spans="1:18" ht="16.350000000000001" customHeight="1" x14ac:dyDescent="0.2">
      <c r="A210" s="77" t="s">
        <v>544</v>
      </c>
      <c r="B210" s="77" t="s">
        <v>545</v>
      </c>
      <c r="C210" s="42">
        <f>$O$205*0.92</f>
        <v>73.941290322580656</v>
      </c>
      <c r="D210" s="41" t="s">
        <v>1</v>
      </c>
      <c r="E210" s="41" t="s">
        <v>197</v>
      </c>
      <c r="F210" s="59">
        <v>1800</v>
      </c>
      <c r="G210" s="59">
        <v>1999</v>
      </c>
      <c r="H210" s="60">
        <f t="shared" si="17"/>
        <v>68.263625870967758</v>
      </c>
      <c r="I210" s="61">
        <v>0</v>
      </c>
      <c r="J210" s="94" t="s">
        <v>444</v>
      </c>
      <c r="K210" s="94"/>
      <c r="L210" s="94"/>
      <c r="M210" s="94"/>
      <c r="N210" s="27"/>
      <c r="O210" s="27"/>
      <c r="P210" s="27"/>
      <c r="Q210" s="27"/>
      <c r="R210" s="27"/>
    </row>
    <row r="211" spans="1:18" ht="16.350000000000001" customHeight="1" x14ac:dyDescent="0.2">
      <c r="A211" s="77" t="s">
        <v>544</v>
      </c>
      <c r="B211" s="77" t="s">
        <v>545</v>
      </c>
      <c r="C211" s="42">
        <f>$O$205*0.907</f>
        <v>72.896467741935496</v>
      </c>
      <c r="D211" s="41" t="s">
        <v>1</v>
      </c>
      <c r="E211" s="41" t="s">
        <v>197</v>
      </c>
      <c r="F211" s="59">
        <v>2000</v>
      </c>
      <c r="G211" s="59">
        <v>2399</v>
      </c>
      <c r="H211" s="60">
        <f t="shared" si="17"/>
        <v>67.324434853225824</v>
      </c>
      <c r="I211" s="61">
        <v>0</v>
      </c>
      <c r="J211" s="94" t="s">
        <v>444</v>
      </c>
      <c r="K211" s="94"/>
      <c r="L211" s="94"/>
      <c r="M211" s="94"/>
      <c r="N211" s="27"/>
      <c r="O211" s="27"/>
      <c r="P211" s="27"/>
      <c r="Q211" s="27"/>
      <c r="R211" s="27"/>
    </row>
    <row r="212" spans="1:18" ht="16.350000000000001" customHeight="1" x14ac:dyDescent="0.2">
      <c r="A212" s="77" t="s">
        <v>544</v>
      </c>
      <c r="B212" s="77" t="s">
        <v>545</v>
      </c>
      <c r="C212" s="42">
        <f>$O$205*0.884</f>
        <v>71.047935483870972</v>
      </c>
      <c r="D212" s="41" t="s">
        <v>1</v>
      </c>
      <c r="E212" s="41" t="s">
        <v>197</v>
      </c>
      <c r="F212" s="59">
        <v>2400</v>
      </c>
      <c r="G212" s="59">
        <v>3199</v>
      </c>
      <c r="H212" s="60">
        <f t="shared" si="17"/>
        <v>65.66278920645162</v>
      </c>
      <c r="I212" s="61">
        <v>0</v>
      </c>
      <c r="J212" s="94" t="s">
        <v>444</v>
      </c>
      <c r="K212" s="94"/>
      <c r="L212" s="94"/>
      <c r="M212" s="94"/>
      <c r="N212" s="27"/>
      <c r="O212" s="27"/>
      <c r="P212" s="27"/>
      <c r="Q212" s="27"/>
      <c r="R212" s="27"/>
    </row>
    <row r="213" spans="1:18" ht="16.350000000000001" customHeight="1" x14ac:dyDescent="0.2">
      <c r="A213" s="77" t="s">
        <v>544</v>
      </c>
      <c r="B213" s="77" t="s">
        <v>545</v>
      </c>
      <c r="C213" s="42">
        <f>$O$205*0.849</f>
        <v>68.234951612903231</v>
      </c>
      <c r="D213" s="41" t="s">
        <v>1</v>
      </c>
      <c r="E213" s="41" t="s">
        <v>197</v>
      </c>
      <c r="F213" s="59">
        <v>3200</v>
      </c>
      <c r="G213" s="59">
        <v>999999</v>
      </c>
      <c r="H213" s="60">
        <f>((C213+$C$11+$B$29)*($B$6*$C$6))</f>
        <v>63.134198004838716</v>
      </c>
      <c r="I213" s="61">
        <v>0</v>
      </c>
      <c r="J213" s="94" t="s">
        <v>444</v>
      </c>
      <c r="K213" s="94"/>
      <c r="L213" s="94"/>
      <c r="M213" s="94"/>
      <c r="N213" s="27"/>
      <c r="O213" s="27"/>
      <c r="P213" s="27"/>
      <c r="Q213" s="27"/>
      <c r="R213" s="27"/>
    </row>
    <row r="214" spans="1:18" ht="16.350000000000001" customHeight="1" x14ac:dyDescent="0.2">
      <c r="A214" s="77" t="s">
        <v>544</v>
      </c>
      <c r="B214" s="77" t="s">
        <v>545</v>
      </c>
      <c r="C214" s="42">
        <f>$O$215*1.137</f>
        <v>108.015</v>
      </c>
      <c r="D214" s="41" t="s">
        <v>1</v>
      </c>
      <c r="E214" s="41" t="s">
        <v>175</v>
      </c>
      <c r="F214" s="59">
        <v>0</v>
      </c>
      <c r="G214" s="59">
        <v>599</v>
      </c>
      <c r="H214" s="60">
        <f>((C214+$C$12+$B$29)*($B$6*$C$6))</f>
        <v>98.892483499999997</v>
      </c>
      <c r="I214" s="61">
        <v>0</v>
      </c>
      <c r="J214" s="94" t="s">
        <v>129</v>
      </c>
      <c r="K214" s="94"/>
      <c r="L214" s="94"/>
      <c r="M214" s="94"/>
      <c r="N214" s="27"/>
      <c r="O214" s="27" t="s">
        <v>492</v>
      </c>
      <c r="P214" s="27"/>
      <c r="Q214" s="27"/>
      <c r="R214" s="27"/>
    </row>
    <row r="215" spans="1:18" ht="16.350000000000001" customHeight="1" x14ac:dyDescent="0.2">
      <c r="A215" s="77" t="s">
        <v>544</v>
      </c>
      <c r="B215" s="77" t="s">
        <v>545</v>
      </c>
      <c r="C215" s="42">
        <f>$O$215*1.074</f>
        <v>102.03</v>
      </c>
      <c r="D215" s="41" t="s">
        <v>1</v>
      </c>
      <c r="E215" s="41" t="s">
        <v>175</v>
      </c>
      <c r="F215" s="59">
        <v>600</v>
      </c>
      <c r="G215" s="59">
        <v>799</v>
      </c>
      <c r="H215" s="60">
        <f t="shared" ref="H215:H222" si="18">((C215+$C$12+$B$29)*($B$6*$C$6))</f>
        <v>93.512567000000004</v>
      </c>
      <c r="I215" s="61">
        <v>0</v>
      </c>
      <c r="J215" s="94" t="s">
        <v>129</v>
      </c>
      <c r="K215" s="94"/>
      <c r="L215" s="94"/>
      <c r="M215" s="94"/>
      <c r="N215" s="27"/>
      <c r="O215" s="27">
        <v>95</v>
      </c>
      <c r="P215" s="27"/>
      <c r="Q215" s="27"/>
      <c r="R215" s="27"/>
    </row>
    <row r="216" spans="1:18" ht="16.350000000000001" customHeight="1" x14ac:dyDescent="0.2">
      <c r="A216" s="77" t="s">
        <v>544</v>
      </c>
      <c r="B216" s="77" t="s">
        <v>545</v>
      </c>
      <c r="C216" s="42">
        <f>$O$215*1.031</f>
        <v>97.944999999999993</v>
      </c>
      <c r="D216" s="41" t="s">
        <v>1</v>
      </c>
      <c r="E216" s="41" t="s">
        <v>175</v>
      </c>
      <c r="F216" s="59">
        <v>800</v>
      </c>
      <c r="G216" s="59">
        <v>999</v>
      </c>
      <c r="H216" s="60">
        <f t="shared" si="18"/>
        <v>89.840560499999995</v>
      </c>
      <c r="I216" s="61">
        <v>0</v>
      </c>
      <c r="J216" s="94" t="s">
        <v>129</v>
      </c>
      <c r="K216" s="94"/>
      <c r="L216" s="94"/>
      <c r="M216" s="94"/>
      <c r="N216" s="27"/>
      <c r="O216" s="27" t="s">
        <v>494</v>
      </c>
      <c r="P216" s="27"/>
      <c r="Q216" s="27"/>
      <c r="R216" s="27"/>
    </row>
    <row r="217" spans="1:18" ht="16.350000000000001" customHeight="1" x14ac:dyDescent="0.2">
      <c r="A217" s="77" t="s">
        <v>544</v>
      </c>
      <c r="B217" s="77" t="s">
        <v>545</v>
      </c>
      <c r="C217" s="42">
        <f>$O$215*1</f>
        <v>95</v>
      </c>
      <c r="D217" s="41" t="s">
        <v>1</v>
      </c>
      <c r="E217" s="41" t="s">
        <v>175</v>
      </c>
      <c r="F217" s="59">
        <v>1000</v>
      </c>
      <c r="G217" s="59">
        <v>1199</v>
      </c>
      <c r="H217" s="60">
        <f t="shared" si="18"/>
        <v>87.193300000000008</v>
      </c>
      <c r="I217" s="61">
        <v>0</v>
      </c>
      <c r="J217" s="94" t="s">
        <v>129</v>
      </c>
      <c r="K217" s="94"/>
      <c r="L217" s="94"/>
      <c r="M217" s="94"/>
      <c r="N217" s="27"/>
      <c r="O217" s="27"/>
      <c r="P217" s="27"/>
      <c r="Q217" s="27"/>
      <c r="R217" s="27"/>
    </row>
    <row r="218" spans="1:18" ht="16.350000000000001" customHeight="1" x14ac:dyDescent="0.2">
      <c r="A218" s="77" t="s">
        <v>544</v>
      </c>
      <c r="B218" s="77" t="s">
        <v>545</v>
      </c>
      <c r="C218" s="42">
        <f>$O$215*0.974</f>
        <v>92.53</v>
      </c>
      <c r="D218" s="41" t="s">
        <v>1</v>
      </c>
      <c r="E218" s="41" t="s">
        <v>175</v>
      </c>
      <c r="F218" s="59">
        <v>1200</v>
      </c>
      <c r="G218" s="59">
        <v>1399</v>
      </c>
      <c r="H218" s="60">
        <f t="shared" si="18"/>
        <v>84.973016999999999</v>
      </c>
      <c r="I218" s="61">
        <v>0</v>
      </c>
      <c r="J218" s="94" t="s">
        <v>129</v>
      </c>
      <c r="K218" s="94"/>
      <c r="L218" s="94"/>
      <c r="M218" s="94"/>
      <c r="N218" s="27"/>
      <c r="O218" s="27"/>
      <c r="P218" s="27"/>
      <c r="Q218" s="27"/>
      <c r="R218" s="27"/>
    </row>
    <row r="219" spans="1:18" ht="16.350000000000001" customHeight="1" x14ac:dyDescent="0.2">
      <c r="A219" s="77" t="s">
        <v>544</v>
      </c>
      <c r="B219" s="77" t="s">
        <v>545</v>
      </c>
      <c r="C219" s="42">
        <f>$O$215*0.954</f>
        <v>90.63</v>
      </c>
      <c r="D219" s="41" t="s">
        <v>1</v>
      </c>
      <c r="E219" s="41" t="s">
        <v>175</v>
      </c>
      <c r="F219" s="59">
        <v>1400</v>
      </c>
      <c r="G219" s="59">
        <v>1799</v>
      </c>
      <c r="H219" s="60">
        <f t="shared" si="18"/>
        <v>83.265107</v>
      </c>
      <c r="I219" s="61">
        <v>0</v>
      </c>
      <c r="J219" s="94" t="s">
        <v>129</v>
      </c>
      <c r="K219" s="94"/>
      <c r="L219" s="94"/>
      <c r="M219" s="94"/>
      <c r="N219" s="27"/>
      <c r="O219" s="27"/>
      <c r="P219" s="27"/>
      <c r="Q219" s="27"/>
      <c r="R219" s="27"/>
    </row>
    <row r="220" spans="1:18" ht="16.350000000000001" customHeight="1" x14ac:dyDescent="0.2">
      <c r="A220" s="77" t="s">
        <v>544</v>
      </c>
      <c r="B220" s="77" t="s">
        <v>545</v>
      </c>
      <c r="C220" s="42">
        <f>$O$215*0.92</f>
        <v>87.4</v>
      </c>
      <c r="D220" s="41" t="s">
        <v>1</v>
      </c>
      <c r="E220" s="41" t="s">
        <v>175</v>
      </c>
      <c r="F220" s="59">
        <v>1800</v>
      </c>
      <c r="G220" s="59">
        <v>1999</v>
      </c>
      <c r="H220" s="60">
        <f t="shared" si="18"/>
        <v>80.361660000000015</v>
      </c>
      <c r="I220" s="61">
        <v>0</v>
      </c>
      <c r="J220" s="94" t="s">
        <v>129</v>
      </c>
      <c r="K220" s="94"/>
      <c r="L220" s="94"/>
      <c r="M220" s="94"/>
      <c r="N220" s="27"/>
      <c r="O220" s="27"/>
      <c r="P220" s="27"/>
      <c r="Q220" s="27"/>
      <c r="R220" s="27"/>
    </row>
    <row r="221" spans="1:18" ht="16.350000000000001" customHeight="1" x14ac:dyDescent="0.2">
      <c r="A221" s="77" t="s">
        <v>544</v>
      </c>
      <c r="B221" s="77" t="s">
        <v>545</v>
      </c>
      <c r="C221" s="42">
        <f>$O$215*0.907</f>
        <v>86.165000000000006</v>
      </c>
      <c r="D221" s="41" t="s">
        <v>1</v>
      </c>
      <c r="E221" s="41" t="s">
        <v>175</v>
      </c>
      <c r="F221" s="59">
        <v>2000</v>
      </c>
      <c r="G221" s="59">
        <v>2399</v>
      </c>
      <c r="H221" s="60">
        <f t="shared" si="18"/>
        <v>79.251518500000003</v>
      </c>
      <c r="I221" s="61">
        <v>0</v>
      </c>
      <c r="J221" s="94" t="s">
        <v>129</v>
      </c>
      <c r="K221" s="94"/>
      <c r="L221" s="94"/>
      <c r="M221" s="94"/>
      <c r="N221" s="27"/>
      <c r="O221" s="27"/>
      <c r="P221" s="27"/>
      <c r="Q221" s="27"/>
      <c r="R221" s="27"/>
    </row>
    <row r="222" spans="1:18" ht="16.350000000000001" customHeight="1" x14ac:dyDescent="0.2">
      <c r="A222" s="77" t="s">
        <v>544</v>
      </c>
      <c r="B222" s="77" t="s">
        <v>545</v>
      </c>
      <c r="C222" s="42">
        <f>$O$215*0.884</f>
        <v>83.98</v>
      </c>
      <c r="D222" s="41" t="s">
        <v>1</v>
      </c>
      <c r="E222" s="41" t="s">
        <v>175</v>
      </c>
      <c r="F222" s="59">
        <v>2400</v>
      </c>
      <c r="G222" s="59">
        <v>3199</v>
      </c>
      <c r="H222" s="60">
        <f t="shared" si="18"/>
        <v>77.287422000000007</v>
      </c>
      <c r="I222" s="61">
        <v>0</v>
      </c>
      <c r="J222" s="94" t="s">
        <v>129</v>
      </c>
      <c r="K222" s="94"/>
      <c r="L222" s="94"/>
      <c r="M222" s="94"/>
      <c r="N222" s="27"/>
      <c r="O222" s="27"/>
      <c r="P222" s="27"/>
      <c r="Q222" s="27"/>
      <c r="R222" s="27"/>
    </row>
    <row r="223" spans="1:18" ht="16.350000000000001" customHeight="1" x14ac:dyDescent="0.2">
      <c r="A223" s="77" t="s">
        <v>544</v>
      </c>
      <c r="B223" s="77" t="s">
        <v>545</v>
      </c>
      <c r="C223" s="42">
        <f>$O$215*0.849</f>
        <v>80.655000000000001</v>
      </c>
      <c r="D223" s="41" t="s">
        <v>1</v>
      </c>
      <c r="E223" s="41" t="s">
        <v>175</v>
      </c>
      <c r="F223" s="59">
        <v>3200</v>
      </c>
      <c r="G223" s="59">
        <v>999999</v>
      </c>
      <c r="H223" s="60">
        <f>((C223+$C$12+$B$29)*($B$6*$C$6))</f>
        <v>74.298579500000002</v>
      </c>
      <c r="I223" s="61">
        <v>0</v>
      </c>
      <c r="J223" s="94" t="s">
        <v>129</v>
      </c>
      <c r="K223" s="94"/>
      <c r="L223" s="94"/>
      <c r="M223" s="94"/>
      <c r="N223" s="27"/>
      <c r="O223" s="27"/>
      <c r="P223" s="27"/>
      <c r="Q223" s="27"/>
      <c r="R223" s="27"/>
    </row>
    <row r="224" spans="1:18" ht="16.350000000000001" customHeight="1" x14ac:dyDescent="0.2">
      <c r="A224" s="81"/>
      <c r="B224" s="81"/>
      <c r="C224" s="81"/>
      <c r="D224" s="82"/>
      <c r="E224" s="82"/>
      <c r="F224" s="83"/>
      <c r="G224" s="83"/>
      <c r="H224" s="84"/>
      <c r="I224" s="85"/>
      <c r="J224" s="86"/>
      <c r="K224" s="86"/>
      <c r="L224" s="86"/>
      <c r="M224" s="86"/>
      <c r="N224" s="27"/>
      <c r="O224" s="27"/>
      <c r="P224" s="27"/>
      <c r="Q224" s="27"/>
      <c r="R224" s="27"/>
    </row>
    <row r="225" spans="1:18" ht="16.350000000000001" customHeight="1" x14ac:dyDescent="0.2">
      <c r="D225" s="27"/>
      <c r="E225" s="27"/>
      <c r="F225" s="64"/>
      <c r="G225" s="64"/>
      <c r="H225" s="65"/>
      <c r="I225" s="26"/>
      <c r="J225" s="54"/>
      <c r="K225" s="54"/>
      <c r="L225" s="54"/>
      <c r="M225" s="54"/>
      <c r="N225" s="27"/>
      <c r="O225" s="27"/>
      <c r="P225" s="27"/>
      <c r="Q225" s="27"/>
      <c r="R225" s="27"/>
    </row>
    <row r="226" spans="1:18" ht="16.350000000000001" customHeight="1" x14ac:dyDescent="0.2">
      <c r="D226" s="27"/>
      <c r="E226" s="27"/>
      <c r="F226" s="64"/>
      <c r="G226" s="64"/>
      <c r="H226" s="65"/>
      <c r="I226" s="26"/>
      <c r="J226" s="54"/>
      <c r="K226" s="54"/>
      <c r="L226" s="54"/>
      <c r="M226" s="54"/>
      <c r="N226" s="27"/>
      <c r="O226" s="27"/>
      <c r="P226" s="27"/>
      <c r="Q226" s="27"/>
      <c r="R226" s="27"/>
    </row>
    <row r="227" spans="1:18" ht="16.350000000000001" customHeight="1" x14ac:dyDescent="0.2">
      <c r="D227" s="27"/>
      <c r="E227" s="27"/>
      <c r="F227" s="64"/>
      <c r="G227" s="64"/>
      <c r="H227" s="65"/>
      <c r="I227" s="26"/>
      <c r="J227" s="54"/>
      <c r="K227" s="54"/>
      <c r="L227" s="54"/>
      <c r="M227" s="54"/>
      <c r="N227" s="27"/>
      <c r="O227" s="27"/>
      <c r="P227" s="27"/>
      <c r="Q227" s="27"/>
      <c r="R227" s="27"/>
    </row>
    <row r="228" spans="1:18" ht="16.350000000000001" customHeight="1" x14ac:dyDescent="0.2">
      <c r="D228" s="27"/>
      <c r="E228" s="27"/>
      <c r="F228" s="64"/>
      <c r="G228" s="64"/>
      <c r="H228" s="65"/>
      <c r="I228" s="26"/>
      <c r="J228" s="54"/>
      <c r="K228" s="54"/>
      <c r="L228" s="54"/>
      <c r="M228" s="54"/>
      <c r="N228" s="27"/>
      <c r="O228" s="27"/>
      <c r="P228" s="27"/>
      <c r="Q228" s="27"/>
      <c r="R228" s="27"/>
    </row>
    <row r="229" spans="1:18" ht="16.350000000000001" customHeight="1" x14ac:dyDescent="0.2">
      <c r="A229" s="55" t="s">
        <v>389</v>
      </c>
      <c r="B229" s="55" t="s">
        <v>390</v>
      </c>
      <c r="C229" s="55" t="s">
        <v>391</v>
      </c>
      <c r="D229" s="56" t="s">
        <v>2</v>
      </c>
      <c r="E229" s="55" t="s">
        <v>334</v>
      </c>
      <c r="F229" s="66" t="s">
        <v>333</v>
      </c>
      <c r="G229" s="66" t="s">
        <v>333</v>
      </c>
      <c r="H229" s="57" t="s">
        <v>335</v>
      </c>
      <c r="I229" s="58" t="s">
        <v>336</v>
      </c>
      <c r="J229" s="95" t="s">
        <v>0</v>
      </c>
      <c r="K229" s="95"/>
      <c r="L229" s="95"/>
      <c r="M229" s="95"/>
      <c r="N229" s="27"/>
      <c r="O229" s="27"/>
      <c r="P229" s="27"/>
      <c r="Q229" s="27"/>
      <c r="R229" s="27"/>
    </row>
    <row r="230" spans="1:18" ht="16.350000000000001" customHeight="1" x14ac:dyDescent="0.2">
      <c r="A230" s="97" t="s">
        <v>394</v>
      </c>
      <c r="B230" s="98"/>
      <c r="C230" s="99"/>
      <c r="D230" s="41" t="s">
        <v>1</v>
      </c>
      <c r="E230" s="41" t="s">
        <v>176</v>
      </c>
      <c r="F230" s="59">
        <v>0</v>
      </c>
      <c r="G230" s="59">
        <v>599</v>
      </c>
      <c r="H230" s="60">
        <f>((H214+H240)/2)</f>
        <v>108.0909272</v>
      </c>
      <c r="I230" s="61">
        <v>0</v>
      </c>
      <c r="J230" s="94" t="s">
        <v>130</v>
      </c>
      <c r="K230" s="94"/>
      <c r="L230" s="94"/>
      <c r="M230" s="94"/>
      <c r="N230" s="27"/>
      <c r="O230" s="27"/>
      <c r="P230" s="27"/>
      <c r="Q230" s="27"/>
      <c r="R230" s="27"/>
    </row>
    <row r="231" spans="1:18" ht="16.350000000000001" customHeight="1" x14ac:dyDescent="0.2">
      <c r="A231" s="97" t="s">
        <v>394</v>
      </c>
      <c r="B231" s="98"/>
      <c r="C231" s="99"/>
      <c r="D231" s="41" t="s">
        <v>1</v>
      </c>
      <c r="E231" s="41" t="s">
        <v>176</v>
      </c>
      <c r="F231" s="59">
        <v>600</v>
      </c>
      <c r="G231" s="59">
        <v>799</v>
      </c>
      <c r="H231" s="60">
        <f>((H215+H240)/2)</f>
        <v>105.40096894999999</v>
      </c>
      <c r="I231" s="61">
        <v>0</v>
      </c>
      <c r="J231" s="94" t="s">
        <v>130</v>
      </c>
      <c r="K231" s="94"/>
      <c r="L231" s="94"/>
      <c r="M231" s="94"/>
      <c r="N231" s="27"/>
      <c r="O231" s="27"/>
      <c r="P231" s="27"/>
      <c r="Q231" s="27"/>
      <c r="R231" s="27"/>
    </row>
    <row r="232" spans="1:18" ht="16.350000000000001" customHeight="1" x14ac:dyDescent="0.2">
      <c r="A232" s="97" t="s">
        <v>394</v>
      </c>
      <c r="B232" s="98"/>
      <c r="C232" s="99"/>
      <c r="D232" s="41" t="s">
        <v>1</v>
      </c>
      <c r="E232" s="41" t="s">
        <v>176</v>
      </c>
      <c r="F232" s="59">
        <v>800</v>
      </c>
      <c r="G232" s="59">
        <v>999</v>
      </c>
      <c r="H232" s="60">
        <f>((H216+H241)/2)</f>
        <v>98.181453599999998</v>
      </c>
      <c r="I232" s="61">
        <v>0</v>
      </c>
      <c r="J232" s="94" t="s">
        <v>130</v>
      </c>
      <c r="K232" s="94"/>
      <c r="L232" s="94"/>
      <c r="M232" s="94"/>
      <c r="N232" s="27"/>
      <c r="O232" s="27"/>
      <c r="P232" s="27"/>
      <c r="Q232" s="27"/>
      <c r="R232" s="27"/>
    </row>
    <row r="233" spans="1:18" ht="16.350000000000001" customHeight="1" x14ac:dyDescent="0.2">
      <c r="A233" s="97" t="s">
        <v>394</v>
      </c>
      <c r="B233" s="98"/>
      <c r="C233" s="99"/>
      <c r="D233" s="41" t="s">
        <v>1</v>
      </c>
      <c r="E233" s="41" t="s">
        <v>176</v>
      </c>
      <c r="F233" s="59">
        <v>1000</v>
      </c>
      <c r="G233" s="59">
        <v>1199</v>
      </c>
      <c r="H233" s="60">
        <f>((H217+H242)/2)</f>
        <v>95.2834</v>
      </c>
      <c r="I233" s="61">
        <v>0</v>
      </c>
      <c r="J233" s="94" t="s">
        <v>130</v>
      </c>
      <c r="K233" s="94"/>
      <c r="L233" s="94"/>
      <c r="M233" s="94"/>
      <c r="N233" s="27"/>
      <c r="O233" s="27"/>
      <c r="P233" s="27"/>
      <c r="Q233" s="27"/>
      <c r="R233" s="27"/>
    </row>
    <row r="234" spans="1:18" ht="16.350000000000001" customHeight="1" x14ac:dyDescent="0.2">
      <c r="A234" s="97" t="s">
        <v>394</v>
      </c>
      <c r="B234" s="98"/>
      <c r="C234" s="99"/>
      <c r="D234" s="41" t="s">
        <v>1</v>
      </c>
      <c r="E234" s="41" t="s">
        <v>176</v>
      </c>
      <c r="F234" s="59">
        <v>1200</v>
      </c>
      <c r="G234" s="59">
        <v>1399</v>
      </c>
      <c r="H234" s="60">
        <f>((H218+H243)/2)</f>
        <v>92.852774400000001</v>
      </c>
      <c r="I234" s="61">
        <v>0</v>
      </c>
      <c r="J234" s="94" t="s">
        <v>130</v>
      </c>
      <c r="K234" s="94"/>
      <c r="L234" s="94"/>
      <c r="M234" s="94"/>
      <c r="N234" s="27"/>
      <c r="O234" s="27"/>
      <c r="P234" s="27"/>
      <c r="Q234" s="27"/>
      <c r="R234" s="27"/>
    </row>
    <row r="235" spans="1:18" ht="16.350000000000001" customHeight="1" x14ac:dyDescent="0.2">
      <c r="A235" s="97" t="s">
        <v>394</v>
      </c>
      <c r="B235" s="98"/>
      <c r="C235" s="99"/>
      <c r="D235" s="41" t="s">
        <v>1</v>
      </c>
      <c r="E235" s="41" t="s">
        <v>176</v>
      </c>
      <c r="F235" s="59">
        <v>1400</v>
      </c>
      <c r="G235" s="59">
        <v>1799</v>
      </c>
      <c r="H235" s="60">
        <f>((H219+H244)/2)</f>
        <v>90.983062399999994</v>
      </c>
      <c r="I235" s="61">
        <v>0</v>
      </c>
      <c r="J235" s="94" t="s">
        <v>130</v>
      </c>
      <c r="K235" s="94"/>
      <c r="L235" s="94"/>
      <c r="M235" s="94"/>
      <c r="N235" s="27"/>
      <c r="O235" s="27"/>
      <c r="P235" s="27"/>
      <c r="Q235" s="27"/>
      <c r="R235" s="27"/>
    </row>
    <row r="236" spans="1:18" ht="16.350000000000001" customHeight="1" x14ac:dyDescent="0.2">
      <c r="A236" s="97" t="s">
        <v>394</v>
      </c>
      <c r="B236" s="98"/>
      <c r="C236" s="99"/>
      <c r="D236" s="41" t="s">
        <v>1</v>
      </c>
      <c r="E236" s="41" t="s">
        <v>176</v>
      </c>
      <c r="F236" s="59">
        <v>1800</v>
      </c>
      <c r="G236" s="59">
        <v>1999</v>
      </c>
      <c r="H236" s="60">
        <f>((H220+H246)/2)</f>
        <v>87.804552000000015</v>
      </c>
      <c r="I236" s="61">
        <v>0</v>
      </c>
      <c r="J236" s="94" t="s">
        <v>130</v>
      </c>
      <c r="K236" s="94"/>
      <c r="L236" s="94"/>
      <c r="M236" s="94"/>
      <c r="N236" s="27"/>
      <c r="O236" s="27"/>
      <c r="P236" s="27"/>
      <c r="Q236" s="27"/>
      <c r="R236" s="27"/>
    </row>
    <row r="237" spans="1:18" ht="16.350000000000001" customHeight="1" x14ac:dyDescent="0.2">
      <c r="A237" s="97" t="s">
        <v>394</v>
      </c>
      <c r="B237" s="98"/>
      <c r="C237" s="99"/>
      <c r="D237" s="41" t="s">
        <v>1</v>
      </c>
      <c r="E237" s="41" t="s">
        <v>176</v>
      </c>
      <c r="F237" s="59">
        <v>2000</v>
      </c>
      <c r="G237" s="59">
        <v>2399</v>
      </c>
      <c r="H237" s="60">
        <f>(H221+((+H247+H246+H246)/3))/2</f>
        <v>86.640027050000015</v>
      </c>
      <c r="I237" s="61">
        <v>0</v>
      </c>
      <c r="J237" s="94" t="s">
        <v>130</v>
      </c>
      <c r="K237" s="94"/>
      <c r="L237" s="94"/>
      <c r="M237" s="94"/>
      <c r="N237" s="27"/>
      <c r="O237" s="27"/>
      <c r="P237" s="27"/>
      <c r="Q237" s="27"/>
      <c r="R237" s="27"/>
    </row>
    <row r="238" spans="1:18" ht="16.350000000000001" customHeight="1" x14ac:dyDescent="0.2">
      <c r="A238" s="97" t="s">
        <v>394</v>
      </c>
      <c r="B238" s="98"/>
      <c r="C238" s="99"/>
      <c r="D238" s="41" t="s">
        <v>1</v>
      </c>
      <c r="E238" s="41" t="s">
        <v>176</v>
      </c>
      <c r="F238" s="59">
        <v>2400</v>
      </c>
      <c r="G238" s="59">
        <v>3199</v>
      </c>
      <c r="H238" s="60">
        <f>((H222+H247)/2)</f>
        <v>84.439070400000006</v>
      </c>
      <c r="I238" s="61">
        <v>0</v>
      </c>
      <c r="J238" s="94" t="s">
        <v>130</v>
      </c>
      <c r="K238" s="94"/>
      <c r="L238" s="94"/>
      <c r="M238" s="94"/>
      <c r="N238" s="27"/>
      <c r="O238" s="27"/>
      <c r="P238" s="27"/>
      <c r="Q238" s="27"/>
      <c r="R238" s="27"/>
    </row>
    <row r="239" spans="1:18" ht="16.350000000000001" customHeight="1" x14ac:dyDescent="0.2">
      <c r="A239" s="97" t="s">
        <v>394</v>
      </c>
      <c r="B239" s="98"/>
      <c r="C239" s="99"/>
      <c r="D239" s="41" t="s">
        <v>1</v>
      </c>
      <c r="E239" s="41" t="s">
        <v>176</v>
      </c>
      <c r="F239" s="59">
        <v>3200</v>
      </c>
      <c r="G239" s="59">
        <v>999999</v>
      </c>
      <c r="H239" s="60">
        <f>((H223+H249)/2)</f>
        <v>81.167074400000004</v>
      </c>
      <c r="I239" s="61">
        <v>0</v>
      </c>
      <c r="J239" s="94" t="s">
        <v>130</v>
      </c>
      <c r="K239" s="94"/>
      <c r="L239" s="94"/>
      <c r="M239" s="94"/>
      <c r="N239" s="27"/>
      <c r="O239" s="27"/>
      <c r="P239" s="27"/>
      <c r="Q239" s="27"/>
      <c r="R239" s="27"/>
    </row>
    <row r="240" spans="1:18" ht="16.350000000000001" customHeight="1" x14ac:dyDescent="0.2">
      <c r="A240" s="77" t="s">
        <v>544</v>
      </c>
      <c r="B240" s="42" t="s">
        <v>546</v>
      </c>
      <c r="C240" s="42">
        <f>$O$241*1.137</f>
        <v>128.48099999999999</v>
      </c>
      <c r="D240" s="41" t="s">
        <v>1</v>
      </c>
      <c r="E240" s="41" t="s">
        <v>177</v>
      </c>
      <c r="F240" s="59">
        <v>0</v>
      </c>
      <c r="G240" s="59">
        <v>799</v>
      </c>
      <c r="H240" s="60">
        <f>((C240+$C$14+$B$29)*($B$6*$C$6))</f>
        <v>117.28937089999999</v>
      </c>
      <c r="I240" s="61">
        <v>0</v>
      </c>
      <c r="J240" s="94" t="s">
        <v>131</v>
      </c>
      <c r="K240" s="94"/>
      <c r="L240" s="94"/>
      <c r="M240" s="94"/>
      <c r="N240" s="27"/>
      <c r="O240" s="27" t="s">
        <v>492</v>
      </c>
      <c r="P240" s="27"/>
      <c r="Q240" s="27"/>
      <c r="R240" s="27"/>
    </row>
    <row r="241" spans="1:18" ht="16.350000000000001" customHeight="1" x14ac:dyDescent="0.2">
      <c r="A241" s="77" t="s">
        <v>544</v>
      </c>
      <c r="B241" s="42" t="s">
        <v>546</v>
      </c>
      <c r="C241" s="42">
        <f>$O$241*1.031</f>
        <v>116.50299999999999</v>
      </c>
      <c r="D241" s="41" t="s">
        <v>1</v>
      </c>
      <c r="E241" s="41" t="s">
        <v>177</v>
      </c>
      <c r="F241" s="59">
        <v>800</v>
      </c>
      <c r="G241" s="59">
        <v>999</v>
      </c>
      <c r="H241" s="60">
        <f t="shared" ref="H241:H248" si="19">((C241+$C$14+$B$29)*($B$6*$C$6))</f>
        <v>106.52234669999999</v>
      </c>
      <c r="I241" s="61">
        <v>0</v>
      </c>
      <c r="J241" s="94" t="s">
        <v>131</v>
      </c>
      <c r="K241" s="94"/>
      <c r="L241" s="94"/>
      <c r="M241" s="94"/>
      <c r="N241" s="27"/>
      <c r="O241" s="27">
        <v>113</v>
      </c>
      <c r="P241" s="27"/>
      <c r="Q241" s="27"/>
      <c r="R241" s="27"/>
    </row>
    <row r="242" spans="1:18" ht="16.350000000000001" customHeight="1" x14ac:dyDescent="0.2">
      <c r="A242" s="77" t="s">
        <v>544</v>
      </c>
      <c r="B242" s="42" t="s">
        <v>546</v>
      </c>
      <c r="C242" s="42">
        <f>$O$241*1</f>
        <v>113</v>
      </c>
      <c r="D242" s="41" t="s">
        <v>1</v>
      </c>
      <c r="E242" s="41" t="s">
        <v>177</v>
      </c>
      <c r="F242" s="59">
        <v>1000</v>
      </c>
      <c r="G242" s="59">
        <v>1199</v>
      </c>
      <c r="H242" s="60">
        <f t="shared" si="19"/>
        <v>103.37350000000001</v>
      </c>
      <c r="I242" s="61">
        <v>0</v>
      </c>
      <c r="J242" s="94" t="s">
        <v>131</v>
      </c>
      <c r="K242" s="94"/>
      <c r="L242" s="94"/>
      <c r="M242" s="94"/>
      <c r="N242" s="27"/>
      <c r="O242" s="27" t="s">
        <v>494</v>
      </c>
      <c r="P242" s="27"/>
      <c r="Q242" s="27"/>
      <c r="R242" s="27"/>
    </row>
    <row r="243" spans="1:18" ht="16.350000000000001" customHeight="1" x14ac:dyDescent="0.2">
      <c r="A243" s="77" t="s">
        <v>544</v>
      </c>
      <c r="B243" s="42" t="s">
        <v>546</v>
      </c>
      <c r="C243" s="42">
        <f>$O$241*0.974</f>
        <v>110.062</v>
      </c>
      <c r="D243" s="41" t="s">
        <v>1</v>
      </c>
      <c r="E243" s="41" t="s">
        <v>177</v>
      </c>
      <c r="F243" s="59">
        <v>1200</v>
      </c>
      <c r="G243" s="59">
        <v>1399</v>
      </c>
      <c r="H243" s="60">
        <f t="shared" si="19"/>
        <v>100.7325318</v>
      </c>
      <c r="I243" s="61">
        <v>0</v>
      </c>
      <c r="J243" s="94" t="s">
        <v>131</v>
      </c>
      <c r="K243" s="94"/>
      <c r="L243" s="94"/>
      <c r="M243" s="94"/>
      <c r="N243" s="27"/>
      <c r="O243" s="27"/>
      <c r="P243" s="27"/>
      <c r="Q243" s="27"/>
      <c r="R243" s="27"/>
    </row>
    <row r="244" spans="1:18" ht="16.350000000000001" customHeight="1" x14ac:dyDescent="0.2">
      <c r="A244" s="77" t="s">
        <v>544</v>
      </c>
      <c r="B244" s="42" t="s">
        <v>546</v>
      </c>
      <c r="C244" s="42">
        <f>$O$241*0.954</f>
        <v>107.80199999999999</v>
      </c>
      <c r="D244" s="41" t="s">
        <v>1</v>
      </c>
      <c r="E244" s="41" t="s">
        <v>177</v>
      </c>
      <c r="F244" s="59">
        <v>1400</v>
      </c>
      <c r="G244" s="59">
        <v>1599</v>
      </c>
      <c r="H244" s="60">
        <f t="shared" si="19"/>
        <v>98.701017800000002</v>
      </c>
      <c r="I244" s="61">
        <v>0</v>
      </c>
      <c r="J244" s="94" t="s">
        <v>131</v>
      </c>
      <c r="K244" s="94"/>
      <c r="L244" s="94"/>
      <c r="M244" s="94"/>
      <c r="N244" s="27"/>
      <c r="O244" s="27"/>
      <c r="P244" s="27"/>
      <c r="Q244" s="27"/>
      <c r="R244" s="27"/>
    </row>
    <row r="245" spans="1:18" ht="16.350000000000001" customHeight="1" x14ac:dyDescent="0.2">
      <c r="A245" s="77" t="s">
        <v>544</v>
      </c>
      <c r="B245" s="42" t="s">
        <v>546</v>
      </c>
      <c r="C245" s="42">
        <f>$O$241*0.936</f>
        <v>105.768</v>
      </c>
      <c r="D245" s="41" t="s">
        <v>1</v>
      </c>
      <c r="E245" s="41" t="s">
        <v>177</v>
      </c>
      <c r="F245" s="59">
        <v>1600</v>
      </c>
      <c r="G245" s="59">
        <v>1799</v>
      </c>
      <c r="H245" s="60">
        <f t="shared" si="19"/>
        <v>96.872655200000011</v>
      </c>
      <c r="I245" s="61">
        <v>0</v>
      </c>
      <c r="J245" s="94" t="s">
        <v>131</v>
      </c>
      <c r="K245" s="94"/>
      <c r="L245" s="94"/>
      <c r="M245" s="94"/>
      <c r="N245" s="27"/>
      <c r="O245" s="27"/>
      <c r="P245" s="27"/>
      <c r="Q245" s="27"/>
      <c r="R245" s="27"/>
    </row>
    <row r="246" spans="1:18" ht="16.350000000000001" customHeight="1" x14ac:dyDescent="0.2">
      <c r="A246" s="77" t="s">
        <v>544</v>
      </c>
      <c r="B246" s="42" t="s">
        <v>546</v>
      </c>
      <c r="C246" s="42">
        <f>$O$241*0.92</f>
        <v>103.96000000000001</v>
      </c>
      <c r="D246" s="41" t="s">
        <v>1</v>
      </c>
      <c r="E246" s="41" t="s">
        <v>177</v>
      </c>
      <c r="F246" s="59">
        <v>1800</v>
      </c>
      <c r="G246" s="59">
        <v>2399</v>
      </c>
      <c r="H246" s="60">
        <f t="shared" si="19"/>
        <v>95.247444000000016</v>
      </c>
      <c r="I246" s="61">
        <v>0</v>
      </c>
      <c r="J246" s="94" t="s">
        <v>131</v>
      </c>
      <c r="K246" s="94"/>
      <c r="L246" s="94"/>
      <c r="M246" s="94"/>
      <c r="N246" s="27"/>
      <c r="O246" s="27"/>
      <c r="P246" s="27"/>
      <c r="Q246" s="27"/>
      <c r="R246" s="27"/>
    </row>
    <row r="247" spans="1:18" ht="16.350000000000001" customHeight="1" x14ac:dyDescent="0.2">
      <c r="A247" s="77" t="s">
        <v>544</v>
      </c>
      <c r="B247" s="42" t="s">
        <v>546</v>
      </c>
      <c r="C247" s="42">
        <f>$O$241*0.884</f>
        <v>99.891999999999996</v>
      </c>
      <c r="D247" s="41" t="s">
        <v>1</v>
      </c>
      <c r="E247" s="41" t="s">
        <v>177</v>
      </c>
      <c r="F247" s="59">
        <v>2400</v>
      </c>
      <c r="G247" s="59">
        <v>2799</v>
      </c>
      <c r="H247" s="60">
        <f t="shared" si="19"/>
        <v>91.590718800000005</v>
      </c>
      <c r="I247" s="61">
        <v>0</v>
      </c>
      <c r="J247" s="94" t="s">
        <v>131</v>
      </c>
      <c r="K247" s="94"/>
      <c r="L247" s="94"/>
      <c r="M247" s="94"/>
      <c r="N247" s="27"/>
      <c r="O247" s="27"/>
      <c r="P247" s="27"/>
      <c r="Q247" s="27"/>
      <c r="R247" s="27"/>
    </row>
    <row r="248" spans="1:18" ht="16.350000000000001" customHeight="1" x14ac:dyDescent="0.2">
      <c r="A248" s="77" t="s">
        <v>544</v>
      </c>
      <c r="B248" s="42" t="s">
        <v>546</v>
      </c>
      <c r="C248" s="42">
        <f>$O$241*0.865</f>
        <v>97.745000000000005</v>
      </c>
      <c r="D248" s="41" t="s">
        <v>1</v>
      </c>
      <c r="E248" s="41" t="s">
        <v>177</v>
      </c>
      <c r="F248" s="59">
        <v>2800</v>
      </c>
      <c r="G248" s="59">
        <v>3199</v>
      </c>
      <c r="H248" s="60">
        <f t="shared" si="19"/>
        <v>89.660780500000001</v>
      </c>
      <c r="I248" s="61">
        <v>0</v>
      </c>
      <c r="J248" s="94" t="s">
        <v>131</v>
      </c>
      <c r="K248" s="94"/>
      <c r="L248" s="94"/>
      <c r="M248" s="94"/>
      <c r="N248" s="27"/>
      <c r="O248" s="27"/>
      <c r="P248" s="27"/>
      <c r="Q248" s="27"/>
      <c r="R248" s="27"/>
    </row>
    <row r="249" spans="1:18" ht="16.350000000000001" customHeight="1" x14ac:dyDescent="0.2">
      <c r="A249" s="77" t="s">
        <v>544</v>
      </c>
      <c r="B249" s="42" t="s">
        <v>546</v>
      </c>
      <c r="C249" s="42">
        <f>$O$241*0.849</f>
        <v>95.936999999999998</v>
      </c>
      <c r="D249" s="41" t="s">
        <v>1</v>
      </c>
      <c r="E249" s="41" t="s">
        <v>177</v>
      </c>
      <c r="F249" s="59">
        <v>3200</v>
      </c>
      <c r="G249" s="59">
        <v>999999</v>
      </c>
      <c r="H249" s="60">
        <f>((C249+$C$14+$B$29)*($B$6*$C$6))</f>
        <v>88.035569300000006</v>
      </c>
      <c r="I249" s="61">
        <v>0</v>
      </c>
      <c r="J249" s="94" t="s">
        <v>131</v>
      </c>
      <c r="K249" s="94"/>
      <c r="L249" s="94"/>
      <c r="M249" s="94"/>
      <c r="N249" s="27"/>
      <c r="O249" s="27"/>
      <c r="P249" s="27"/>
      <c r="Q249" s="27"/>
      <c r="R249" s="27"/>
    </row>
    <row r="250" spans="1:18" ht="16.350000000000001" customHeight="1" x14ac:dyDescent="0.2">
      <c r="A250" s="97" t="s">
        <v>395</v>
      </c>
      <c r="B250" s="98"/>
      <c r="C250" s="99"/>
      <c r="D250" s="41" t="s">
        <v>1</v>
      </c>
      <c r="E250" s="41" t="s">
        <v>178</v>
      </c>
      <c r="F250" s="59">
        <v>0</v>
      </c>
      <c r="G250" s="59">
        <v>799</v>
      </c>
      <c r="H250" s="60">
        <f>((H240+H264)/2)</f>
        <v>123.91381445</v>
      </c>
      <c r="I250" s="61">
        <v>0</v>
      </c>
      <c r="J250" s="94" t="s">
        <v>132</v>
      </c>
      <c r="K250" s="94"/>
      <c r="L250" s="94"/>
      <c r="M250" s="94"/>
      <c r="N250" s="27"/>
      <c r="O250" s="27"/>
      <c r="P250" s="27"/>
      <c r="Q250" s="27"/>
      <c r="R250" s="27"/>
    </row>
    <row r="251" spans="1:18" ht="16.350000000000001" customHeight="1" x14ac:dyDescent="0.2">
      <c r="A251" s="97" t="s">
        <v>395</v>
      </c>
      <c r="B251" s="98"/>
      <c r="C251" s="99"/>
      <c r="D251" s="41" t="s">
        <v>1</v>
      </c>
      <c r="E251" s="41" t="s">
        <v>178</v>
      </c>
      <c r="F251" s="59">
        <v>800</v>
      </c>
      <c r="G251" s="59">
        <v>999</v>
      </c>
      <c r="H251" s="60">
        <f>((H241+H264)/2)</f>
        <v>118.53030235</v>
      </c>
      <c r="I251" s="61">
        <v>0</v>
      </c>
      <c r="J251" s="94" t="s">
        <v>132</v>
      </c>
      <c r="K251" s="94"/>
      <c r="L251" s="94"/>
      <c r="M251" s="94"/>
      <c r="N251" s="27"/>
      <c r="O251" s="27"/>
      <c r="P251" s="27"/>
      <c r="Q251" s="27"/>
      <c r="R251" s="27"/>
    </row>
    <row r="252" spans="1:18" ht="16.350000000000001" customHeight="1" x14ac:dyDescent="0.2">
      <c r="A252" s="97" t="s">
        <v>395</v>
      </c>
      <c r="B252" s="98"/>
      <c r="C252" s="99"/>
      <c r="D252" s="41" t="s">
        <v>1</v>
      </c>
      <c r="E252" s="41" t="s">
        <v>178</v>
      </c>
      <c r="F252" s="59">
        <v>1000</v>
      </c>
      <c r="G252" s="59">
        <v>1199</v>
      </c>
      <c r="H252" s="60">
        <f>((H242+H265)/2)</f>
        <v>115.11672960000001</v>
      </c>
      <c r="I252" s="61">
        <v>0</v>
      </c>
      <c r="J252" s="94" t="s">
        <v>132</v>
      </c>
      <c r="K252" s="94"/>
      <c r="L252" s="94"/>
      <c r="M252" s="94"/>
      <c r="N252" s="27"/>
      <c r="O252" s="27"/>
      <c r="P252" s="27"/>
      <c r="Q252" s="27"/>
      <c r="R252" s="27"/>
    </row>
    <row r="253" spans="1:18" ht="16.350000000000001" customHeight="1" x14ac:dyDescent="0.2">
      <c r="A253" s="97" t="s">
        <v>395</v>
      </c>
      <c r="B253" s="98"/>
      <c r="C253" s="99"/>
      <c r="D253" s="41" t="s">
        <v>1</v>
      </c>
      <c r="E253" s="41" t="s">
        <v>178</v>
      </c>
      <c r="F253" s="59">
        <v>1200</v>
      </c>
      <c r="G253" s="59">
        <v>1399</v>
      </c>
      <c r="H253" s="60">
        <f>((H243+((H265+H266)/2))/2)</f>
        <v>112.46137900000001</v>
      </c>
      <c r="I253" s="61">
        <v>0</v>
      </c>
      <c r="J253" s="94" t="s">
        <v>132</v>
      </c>
      <c r="K253" s="94"/>
      <c r="L253" s="94"/>
      <c r="M253" s="94"/>
      <c r="N253" s="27"/>
      <c r="O253" s="27"/>
      <c r="P253" s="27"/>
      <c r="Q253" s="27"/>
      <c r="R253" s="27"/>
    </row>
    <row r="254" spans="1:18" ht="16.350000000000001" customHeight="1" x14ac:dyDescent="0.2">
      <c r="A254" s="97" t="s">
        <v>395</v>
      </c>
      <c r="B254" s="98"/>
      <c r="C254" s="99"/>
      <c r="D254" s="41" t="s">
        <v>1</v>
      </c>
      <c r="E254" s="41" t="s">
        <v>178</v>
      </c>
      <c r="F254" s="59">
        <v>1400</v>
      </c>
      <c r="G254" s="59">
        <v>1599</v>
      </c>
      <c r="H254" s="60">
        <f>((H244+H266)/2)</f>
        <v>110.1107555</v>
      </c>
      <c r="I254" s="61">
        <v>0</v>
      </c>
      <c r="J254" s="94" t="s">
        <v>132</v>
      </c>
      <c r="K254" s="94"/>
      <c r="L254" s="94"/>
      <c r="M254" s="94"/>
      <c r="N254" s="27"/>
      <c r="O254" s="27"/>
      <c r="P254" s="27"/>
      <c r="Q254" s="27"/>
      <c r="R254" s="27"/>
    </row>
    <row r="255" spans="1:18" ht="16.350000000000001" customHeight="1" x14ac:dyDescent="0.2">
      <c r="A255" s="97" t="s">
        <v>395</v>
      </c>
      <c r="B255" s="98"/>
      <c r="C255" s="99"/>
      <c r="D255" s="41" t="s">
        <v>1</v>
      </c>
      <c r="E255" s="41" t="s">
        <v>178</v>
      </c>
      <c r="F255" s="59">
        <v>1600</v>
      </c>
      <c r="G255" s="59">
        <v>1799</v>
      </c>
      <c r="H255" s="60">
        <f>((H245+H267)/2)</f>
        <v>108.1880084</v>
      </c>
      <c r="I255" s="61">
        <v>0</v>
      </c>
      <c r="J255" s="94" t="s">
        <v>132</v>
      </c>
      <c r="K255" s="94"/>
      <c r="L255" s="94"/>
      <c r="M255" s="94"/>
      <c r="N255" s="27"/>
      <c r="O255" s="27"/>
      <c r="P255" s="27"/>
      <c r="Q255" s="27"/>
      <c r="R255" s="27"/>
    </row>
    <row r="256" spans="1:18" ht="16.350000000000001" customHeight="1" x14ac:dyDescent="0.2">
      <c r="A256" s="97" t="s">
        <v>395</v>
      </c>
      <c r="B256" s="98"/>
      <c r="C256" s="99"/>
      <c r="D256" s="41" t="s">
        <v>1</v>
      </c>
      <c r="E256" s="41" t="s">
        <v>178</v>
      </c>
      <c r="F256" s="59">
        <v>1800</v>
      </c>
      <c r="G256" s="59">
        <v>2199</v>
      </c>
      <c r="H256" s="60">
        <f>((H246+H268)/2)</f>
        <v>106.48549180000001</v>
      </c>
      <c r="I256" s="61">
        <v>0</v>
      </c>
      <c r="J256" s="94" t="s">
        <v>132</v>
      </c>
      <c r="K256" s="94"/>
      <c r="L256" s="94"/>
      <c r="M256" s="94"/>
      <c r="N256" s="27"/>
      <c r="O256" s="27"/>
      <c r="P256" s="27"/>
      <c r="Q256" s="27"/>
      <c r="R256" s="27"/>
    </row>
    <row r="257" spans="1:18" ht="16.350000000000001" customHeight="1" x14ac:dyDescent="0.2">
      <c r="A257" s="97" t="s">
        <v>395</v>
      </c>
      <c r="B257" s="98"/>
      <c r="C257" s="99"/>
      <c r="D257" s="41" t="s">
        <v>1</v>
      </c>
      <c r="E257" s="41" t="s">
        <v>178</v>
      </c>
      <c r="F257" s="59">
        <v>2200</v>
      </c>
      <c r="G257" s="59">
        <v>2599</v>
      </c>
      <c r="H257" s="60">
        <f>(((H247+H246+H247)/3)+((H270+H269)/2))/2</f>
        <v>103.8130621</v>
      </c>
      <c r="I257" s="61">
        <v>0</v>
      </c>
      <c r="J257" s="94" t="s">
        <v>132</v>
      </c>
      <c r="K257" s="94"/>
      <c r="L257" s="94"/>
      <c r="M257" s="94"/>
      <c r="N257" s="27"/>
      <c r="O257" s="27"/>
      <c r="P257" s="27"/>
      <c r="Q257" s="27"/>
      <c r="R257" s="27"/>
    </row>
    <row r="258" spans="1:18" ht="16.350000000000001" customHeight="1" x14ac:dyDescent="0.2">
      <c r="A258" s="97" t="s">
        <v>395</v>
      </c>
      <c r="B258" s="98"/>
      <c r="C258" s="99"/>
      <c r="D258" s="41" t="s">
        <v>1</v>
      </c>
      <c r="E258" s="41" t="s">
        <v>178</v>
      </c>
      <c r="F258" s="59">
        <v>2600</v>
      </c>
      <c r="G258" s="59">
        <v>2999</v>
      </c>
      <c r="H258" s="60">
        <f>((H248+H247+H270+H271)/4)</f>
        <v>101.50491162500001</v>
      </c>
      <c r="I258" s="61">
        <v>0</v>
      </c>
      <c r="J258" s="94" t="s">
        <v>132</v>
      </c>
      <c r="K258" s="94"/>
      <c r="L258" s="94"/>
      <c r="M258" s="94"/>
      <c r="N258" s="27"/>
      <c r="O258" s="27"/>
      <c r="P258" s="27"/>
      <c r="Q258" s="27"/>
      <c r="R258" s="27"/>
    </row>
    <row r="259" spans="1:18" ht="16.350000000000001" customHeight="1" x14ac:dyDescent="0.2">
      <c r="A259" s="97" t="s">
        <v>395</v>
      </c>
      <c r="B259" s="98"/>
      <c r="C259" s="99"/>
      <c r="D259" s="41" t="s">
        <v>1</v>
      </c>
      <c r="E259" s="41" t="s">
        <v>178</v>
      </c>
      <c r="F259" s="59">
        <v>3000</v>
      </c>
      <c r="G259" s="59">
        <v>999999</v>
      </c>
      <c r="H259" s="60">
        <f>((H249+H248+H271+H272)/4)</f>
        <v>99.607558449999999</v>
      </c>
      <c r="I259" s="61">
        <v>0</v>
      </c>
      <c r="J259" s="94" t="s">
        <v>132</v>
      </c>
      <c r="K259" s="94"/>
      <c r="L259" s="94"/>
      <c r="M259" s="94"/>
      <c r="N259" s="27"/>
      <c r="O259" s="27"/>
      <c r="P259" s="27"/>
      <c r="Q259" s="27"/>
      <c r="R259" s="27"/>
    </row>
    <row r="260" spans="1:18" ht="16.350000000000001" customHeight="1" x14ac:dyDescent="0.2">
      <c r="A260" s="87"/>
      <c r="B260" s="87"/>
      <c r="C260" s="87"/>
      <c r="D260" s="82"/>
      <c r="E260" s="82"/>
      <c r="F260" s="83"/>
      <c r="G260" s="83"/>
      <c r="H260" s="84"/>
      <c r="I260" s="85"/>
      <c r="J260" s="86"/>
      <c r="K260" s="86"/>
      <c r="L260" s="86"/>
      <c r="M260" s="86"/>
      <c r="N260" s="27"/>
      <c r="O260" s="27"/>
      <c r="P260" s="27"/>
      <c r="Q260" s="27"/>
      <c r="R260" s="27"/>
    </row>
    <row r="261" spans="1:18" ht="16.350000000000001" customHeight="1" x14ac:dyDescent="0.2">
      <c r="A261" s="88"/>
      <c r="B261" s="88"/>
      <c r="C261" s="88"/>
      <c r="D261" s="27"/>
      <c r="E261" s="27"/>
      <c r="F261" s="64"/>
      <c r="G261" s="64"/>
      <c r="H261" s="65"/>
      <c r="I261" s="26"/>
      <c r="J261" s="54"/>
      <c r="K261" s="54"/>
      <c r="L261" s="54"/>
      <c r="M261" s="54"/>
      <c r="N261" s="27"/>
      <c r="O261" s="27"/>
      <c r="P261" s="27"/>
      <c r="Q261" s="27"/>
      <c r="R261" s="27"/>
    </row>
    <row r="262" spans="1:18" ht="16.350000000000001" customHeight="1" x14ac:dyDescent="0.2">
      <c r="A262" s="88"/>
      <c r="B262" s="88"/>
      <c r="C262" s="88"/>
      <c r="D262" s="27"/>
      <c r="E262" s="27"/>
      <c r="F262" s="64"/>
      <c r="G262" s="64"/>
      <c r="H262" s="65"/>
      <c r="I262" s="26"/>
      <c r="J262" s="54"/>
      <c r="K262" s="54"/>
      <c r="L262" s="54"/>
      <c r="M262" s="54"/>
      <c r="N262" s="27"/>
      <c r="O262" s="27"/>
      <c r="P262" s="27"/>
      <c r="Q262" s="27"/>
      <c r="R262" s="27"/>
    </row>
    <row r="263" spans="1:18" ht="16.350000000000001" customHeight="1" x14ac:dyDescent="0.2">
      <c r="A263" s="55" t="s">
        <v>389</v>
      </c>
      <c r="B263" s="55" t="s">
        <v>390</v>
      </c>
      <c r="C263" s="55" t="s">
        <v>391</v>
      </c>
      <c r="D263" s="56" t="s">
        <v>2</v>
      </c>
      <c r="E263" s="55" t="s">
        <v>334</v>
      </c>
      <c r="F263" s="66" t="s">
        <v>333</v>
      </c>
      <c r="G263" s="66" t="s">
        <v>333</v>
      </c>
      <c r="H263" s="57" t="s">
        <v>335</v>
      </c>
      <c r="I263" s="58" t="s">
        <v>336</v>
      </c>
      <c r="J263" s="95" t="s">
        <v>0</v>
      </c>
      <c r="K263" s="95"/>
      <c r="L263" s="95"/>
      <c r="M263" s="95"/>
      <c r="N263" s="27"/>
      <c r="O263" s="27"/>
      <c r="P263" s="27"/>
      <c r="Q263" s="27"/>
      <c r="R263" s="27"/>
    </row>
    <row r="264" spans="1:18" ht="16.350000000000001" customHeight="1" x14ac:dyDescent="0.2">
      <c r="A264" s="77" t="s">
        <v>544</v>
      </c>
      <c r="B264" s="42" t="s">
        <v>547</v>
      </c>
      <c r="C264" s="42">
        <f>$O$265*1.085</f>
        <v>143.22</v>
      </c>
      <c r="D264" s="41" t="s">
        <v>1</v>
      </c>
      <c r="E264" s="41" t="s">
        <v>179</v>
      </c>
      <c r="F264" s="59">
        <v>0</v>
      </c>
      <c r="G264" s="59">
        <v>999</v>
      </c>
      <c r="H264" s="60">
        <f>((C264+$C$16+$B$29)*($B$6*$C$6))</f>
        <v>130.53825800000001</v>
      </c>
      <c r="I264" s="61">
        <v>0</v>
      </c>
      <c r="J264" s="94" t="s">
        <v>441</v>
      </c>
      <c r="K264" s="94"/>
      <c r="L264" s="94"/>
      <c r="M264" s="94"/>
      <c r="N264" s="27"/>
      <c r="O264" s="27" t="s">
        <v>492</v>
      </c>
      <c r="P264" s="27"/>
      <c r="Q264" s="27"/>
      <c r="R264" s="27"/>
    </row>
    <row r="265" spans="1:18" ht="16.350000000000001" customHeight="1" x14ac:dyDescent="0.2">
      <c r="A265" s="77" t="s">
        <v>544</v>
      </c>
      <c r="B265" s="42" t="s">
        <v>547</v>
      </c>
      <c r="C265" s="42">
        <f>$O$265*1.054</f>
        <v>139.12800000000001</v>
      </c>
      <c r="D265" s="41" t="s">
        <v>1</v>
      </c>
      <c r="E265" s="41" t="s">
        <v>179</v>
      </c>
      <c r="F265" s="59">
        <v>1000</v>
      </c>
      <c r="G265" s="59">
        <v>1399</v>
      </c>
      <c r="H265" s="60">
        <f t="shared" ref="H265:H272" si="20">((C265+$C$16+$B$29)*($B$6*$C$6))</f>
        <v>126.85995920000002</v>
      </c>
      <c r="I265" s="61">
        <v>0</v>
      </c>
      <c r="J265" s="94" t="s">
        <v>441</v>
      </c>
      <c r="K265" s="94"/>
      <c r="L265" s="94"/>
      <c r="M265" s="94"/>
      <c r="N265" s="27"/>
      <c r="O265" s="27">
        <v>132</v>
      </c>
      <c r="P265" s="27"/>
      <c r="Q265" s="27"/>
      <c r="R265" s="27"/>
    </row>
    <row r="266" spans="1:18" ht="16.350000000000001" customHeight="1" x14ac:dyDescent="0.2">
      <c r="A266" s="77" t="s">
        <v>544</v>
      </c>
      <c r="B266" s="42" t="s">
        <v>547</v>
      </c>
      <c r="C266" s="42">
        <f>$O$265*1.009</f>
        <v>133.18799999999999</v>
      </c>
      <c r="D266" s="41" t="s">
        <v>1</v>
      </c>
      <c r="E266" s="41" t="s">
        <v>179</v>
      </c>
      <c r="F266" s="59">
        <v>1400</v>
      </c>
      <c r="G266" s="59">
        <v>1599</v>
      </c>
      <c r="H266" s="60">
        <f t="shared" si="20"/>
        <v>121.52049319999999</v>
      </c>
      <c r="I266" s="61">
        <v>0</v>
      </c>
      <c r="J266" s="94" t="s">
        <v>441</v>
      </c>
      <c r="K266" s="94"/>
      <c r="L266" s="94"/>
      <c r="M266" s="94"/>
      <c r="N266" s="27"/>
      <c r="O266" s="27" t="s">
        <v>495</v>
      </c>
      <c r="P266" s="27"/>
      <c r="Q266" s="27"/>
      <c r="R266" s="27"/>
    </row>
    <row r="267" spans="1:18" ht="16.350000000000001" customHeight="1" x14ac:dyDescent="0.2">
      <c r="A267" s="77" t="s">
        <v>544</v>
      </c>
      <c r="B267" s="42" t="s">
        <v>547</v>
      </c>
      <c r="C267" s="42">
        <f>$O$265*0.992</f>
        <v>130.94399999999999</v>
      </c>
      <c r="D267" s="41" t="s">
        <v>1</v>
      </c>
      <c r="E267" s="41" t="s">
        <v>179</v>
      </c>
      <c r="F267" s="59">
        <v>1600</v>
      </c>
      <c r="G267" s="59">
        <v>1799</v>
      </c>
      <c r="H267" s="60">
        <f t="shared" si="20"/>
        <v>119.50336159999999</v>
      </c>
      <c r="I267" s="61">
        <v>0</v>
      </c>
      <c r="J267" s="94" t="s">
        <v>441</v>
      </c>
      <c r="K267" s="94"/>
      <c r="L267" s="94"/>
      <c r="M267" s="94"/>
      <c r="N267" s="27"/>
      <c r="O267" s="27"/>
      <c r="P267" s="27"/>
      <c r="Q267" s="27"/>
      <c r="R267" s="27"/>
    </row>
    <row r="268" spans="1:18" ht="16.350000000000001" customHeight="1" x14ac:dyDescent="0.2">
      <c r="A268" s="77" t="s">
        <v>544</v>
      </c>
      <c r="B268" s="42" t="s">
        <v>547</v>
      </c>
      <c r="C268" s="42">
        <f>$O$265*0.977</f>
        <v>128.964</v>
      </c>
      <c r="D268" s="41" t="s">
        <v>1</v>
      </c>
      <c r="E268" s="41" t="s">
        <v>179</v>
      </c>
      <c r="F268" s="59">
        <v>1800</v>
      </c>
      <c r="G268" s="59">
        <v>1999</v>
      </c>
      <c r="H268" s="60">
        <f t="shared" si="20"/>
        <v>117.72353960000001</v>
      </c>
      <c r="I268" s="61">
        <v>0</v>
      </c>
      <c r="J268" s="94" t="s">
        <v>441</v>
      </c>
      <c r="K268" s="94"/>
      <c r="L268" s="94"/>
      <c r="M268" s="94"/>
      <c r="N268" s="27"/>
      <c r="O268" s="27"/>
      <c r="P268" s="27"/>
      <c r="Q268" s="27"/>
      <c r="R268" s="27"/>
    </row>
    <row r="269" spans="1:18" ht="16.350000000000001" customHeight="1" x14ac:dyDescent="0.2">
      <c r="A269" s="77" t="s">
        <v>544</v>
      </c>
      <c r="B269" s="42" t="s">
        <v>547</v>
      </c>
      <c r="C269" s="42">
        <f>$O$265*0.964</f>
        <v>127.24799999999999</v>
      </c>
      <c r="D269" s="41" t="s">
        <v>1</v>
      </c>
      <c r="E269" s="41" t="s">
        <v>179</v>
      </c>
      <c r="F269" s="59">
        <v>2000</v>
      </c>
      <c r="G269" s="59">
        <v>2399</v>
      </c>
      <c r="H269" s="60">
        <f t="shared" si="20"/>
        <v>116.1810272</v>
      </c>
      <c r="I269" s="61">
        <v>0</v>
      </c>
      <c r="J269" s="94" t="s">
        <v>441</v>
      </c>
      <c r="K269" s="94"/>
      <c r="L269" s="94"/>
      <c r="M269" s="94"/>
      <c r="N269" s="27"/>
      <c r="O269" s="27"/>
      <c r="P269" s="27"/>
      <c r="Q269" s="27"/>
      <c r="R269" s="27"/>
    </row>
    <row r="270" spans="1:18" ht="16.350000000000001" customHeight="1" x14ac:dyDescent="0.2">
      <c r="A270" s="77" t="s">
        <v>544</v>
      </c>
      <c r="B270" s="42" t="s">
        <v>547</v>
      </c>
      <c r="C270" s="42">
        <f>$O$265*0.941</f>
        <v>124.21199999999999</v>
      </c>
      <c r="D270" s="41" t="s">
        <v>1</v>
      </c>
      <c r="E270" s="41" t="s">
        <v>179</v>
      </c>
      <c r="F270" s="59">
        <v>2400</v>
      </c>
      <c r="G270" s="59">
        <v>2799</v>
      </c>
      <c r="H270" s="60">
        <f t="shared" si="20"/>
        <v>113.45196679999999</v>
      </c>
      <c r="I270" s="61">
        <v>0</v>
      </c>
      <c r="J270" s="94" t="s">
        <v>441</v>
      </c>
      <c r="K270" s="94"/>
      <c r="L270" s="94"/>
      <c r="M270" s="94"/>
      <c r="N270" s="27"/>
      <c r="O270" s="27"/>
      <c r="P270" s="27"/>
      <c r="Q270" s="27"/>
      <c r="R270" s="27"/>
    </row>
    <row r="271" spans="1:18" ht="16.350000000000001" customHeight="1" x14ac:dyDescent="0.2">
      <c r="A271" s="77" t="s">
        <v>544</v>
      </c>
      <c r="B271" s="42" t="s">
        <v>547</v>
      </c>
      <c r="C271" s="42">
        <f>$O$265*0.923</f>
        <v>121.83600000000001</v>
      </c>
      <c r="D271" s="41" t="s">
        <v>1</v>
      </c>
      <c r="E271" s="41" t="s">
        <v>179</v>
      </c>
      <c r="F271" s="59">
        <v>2800</v>
      </c>
      <c r="G271" s="59">
        <v>3199</v>
      </c>
      <c r="H271" s="60">
        <f t="shared" si="20"/>
        <v>111.31618040000002</v>
      </c>
      <c r="I271" s="61">
        <v>0</v>
      </c>
      <c r="J271" s="94" t="s">
        <v>441</v>
      </c>
      <c r="K271" s="94"/>
      <c r="L271" s="94"/>
      <c r="M271" s="94"/>
      <c r="N271" s="27"/>
      <c r="O271" s="27"/>
      <c r="P271" s="27"/>
      <c r="Q271" s="27"/>
      <c r="R271" s="27"/>
    </row>
    <row r="272" spans="1:18" ht="16.350000000000001" customHeight="1" x14ac:dyDescent="0.2">
      <c r="A272" s="77" t="s">
        <v>544</v>
      </c>
      <c r="B272" s="42" t="s">
        <v>547</v>
      </c>
      <c r="C272" s="42">
        <f>$O$265*0.907</f>
        <v>119.724</v>
      </c>
      <c r="D272" s="41" t="s">
        <v>1</v>
      </c>
      <c r="E272" s="41" t="s">
        <v>179</v>
      </c>
      <c r="F272" s="59">
        <v>3200</v>
      </c>
      <c r="G272" s="59">
        <v>3599</v>
      </c>
      <c r="H272" s="60">
        <f t="shared" si="20"/>
        <v>109.41770360000001</v>
      </c>
      <c r="I272" s="61">
        <v>0</v>
      </c>
      <c r="J272" s="94" t="s">
        <v>441</v>
      </c>
      <c r="K272" s="94"/>
      <c r="L272" s="94"/>
      <c r="M272" s="94"/>
      <c r="N272" s="27"/>
      <c r="O272" s="27"/>
      <c r="P272" s="27"/>
      <c r="Q272" s="27"/>
      <c r="R272" s="27"/>
    </row>
    <row r="273" spans="1:18" ht="16.350000000000001" customHeight="1" x14ac:dyDescent="0.2">
      <c r="A273" s="77" t="s">
        <v>544</v>
      </c>
      <c r="B273" s="42" t="s">
        <v>547</v>
      </c>
      <c r="C273" s="42">
        <f>$O$265*0.893</f>
        <v>117.876</v>
      </c>
      <c r="D273" s="41" t="s">
        <v>1</v>
      </c>
      <c r="E273" s="41" t="s">
        <v>179</v>
      </c>
      <c r="F273" s="59">
        <v>3600</v>
      </c>
      <c r="G273" s="59">
        <v>999999</v>
      </c>
      <c r="H273" s="60">
        <f>((C273+$C$16+$B$29)*($B$6*$C$6))</f>
        <v>107.7565364</v>
      </c>
      <c r="I273" s="61">
        <v>0</v>
      </c>
      <c r="J273" s="94" t="s">
        <v>441</v>
      </c>
      <c r="K273" s="94"/>
      <c r="L273" s="94"/>
      <c r="M273" s="94"/>
      <c r="N273" s="27"/>
      <c r="O273" s="27"/>
      <c r="P273" s="27"/>
      <c r="Q273" s="27"/>
      <c r="R273" s="27"/>
    </row>
    <row r="274" spans="1:18" ht="16.350000000000001" customHeight="1" x14ac:dyDescent="0.2">
      <c r="A274" s="97" t="s">
        <v>396</v>
      </c>
      <c r="B274" s="98"/>
      <c r="C274" s="99"/>
      <c r="D274" s="41" t="s">
        <v>1</v>
      </c>
      <c r="E274" s="41" t="s">
        <v>180</v>
      </c>
      <c r="F274" s="59">
        <v>0</v>
      </c>
      <c r="G274" s="59">
        <v>999</v>
      </c>
      <c r="H274" s="60">
        <f>((H264+H284)/2)</f>
        <v>154.99732699999998</v>
      </c>
      <c r="I274" s="61">
        <v>0</v>
      </c>
      <c r="J274" s="94" t="s">
        <v>133</v>
      </c>
      <c r="K274" s="94"/>
      <c r="L274" s="94"/>
      <c r="M274" s="94"/>
      <c r="N274" s="27"/>
      <c r="O274" s="27"/>
      <c r="P274" s="27"/>
      <c r="Q274" s="27"/>
      <c r="R274" s="27"/>
    </row>
    <row r="275" spans="1:18" ht="16.350000000000001" customHeight="1" x14ac:dyDescent="0.2">
      <c r="A275" s="97" t="s">
        <v>396</v>
      </c>
      <c r="B275" s="98"/>
      <c r="C275" s="99"/>
      <c r="D275" s="41" t="s">
        <v>1</v>
      </c>
      <c r="E275" s="41" t="s">
        <v>180</v>
      </c>
      <c r="F275" s="59">
        <v>1000</v>
      </c>
      <c r="G275" s="59">
        <v>1399</v>
      </c>
      <c r="H275" s="60">
        <f t="shared" ref="H275:H283" si="21">((H265+H284)/2)</f>
        <v>153.15817759999999</v>
      </c>
      <c r="I275" s="61">
        <v>0</v>
      </c>
      <c r="J275" s="94" t="s">
        <v>133</v>
      </c>
      <c r="K275" s="94"/>
      <c r="L275" s="94"/>
      <c r="M275" s="94"/>
      <c r="N275" s="27"/>
      <c r="O275" s="27"/>
      <c r="P275" s="27"/>
      <c r="Q275" s="27"/>
      <c r="R275" s="27"/>
    </row>
    <row r="276" spans="1:18" ht="16.350000000000001" customHeight="1" x14ac:dyDescent="0.2">
      <c r="A276" s="97" t="s">
        <v>396</v>
      </c>
      <c r="B276" s="98"/>
      <c r="C276" s="99"/>
      <c r="D276" s="41" t="s">
        <v>1</v>
      </c>
      <c r="E276" s="41" t="s">
        <v>180</v>
      </c>
      <c r="F276" s="59">
        <v>1400</v>
      </c>
      <c r="G276" s="59">
        <v>1599</v>
      </c>
      <c r="H276" s="60">
        <f t="shared" si="21"/>
        <v>144.20333579999999</v>
      </c>
      <c r="I276" s="61">
        <v>0</v>
      </c>
      <c r="J276" s="94" t="s">
        <v>133</v>
      </c>
      <c r="K276" s="94"/>
      <c r="L276" s="94"/>
      <c r="M276" s="94"/>
      <c r="N276" s="27"/>
      <c r="O276" s="27"/>
      <c r="P276" s="27"/>
      <c r="Q276" s="27"/>
      <c r="R276" s="27"/>
    </row>
    <row r="277" spans="1:18" ht="16.350000000000001" customHeight="1" x14ac:dyDescent="0.2">
      <c r="A277" s="97" t="s">
        <v>396</v>
      </c>
      <c r="B277" s="98"/>
      <c r="C277" s="99"/>
      <c r="D277" s="41" t="s">
        <v>1</v>
      </c>
      <c r="E277" s="41" t="s">
        <v>180</v>
      </c>
      <c r="F277" s="59">
        <v>1600</v>
      </c>
      <c r="G277" s="59">
        <v>1799</v>
      </c>
      <c r="H277" s="60">
        <f t="shared" si="21"/>
        <v>141.78889039999999</v>
      </c>
      <c r="I277" s="61">
        <v>0</v>
      </c>
      <c r="J277" s="94" t="s">
        <v>133</v>
      </c>
      <c r="K277" s="94"/>
      <c r="L277" s="94"/>
      <c r="M277" s="94"/>
      <c r="N277" s="27"/>
      <c r="O277" s="27"/>
      <c r="P277" s="27"/>
      <c r="Q277" s="27"/>
      <c r="R277" s="27"/>
    </row>
    <row r="278" spans="1:18" ht="16.350000000000001" customHeight="1" x14ac:dyDescent="0.2">
      <c r="A278" s="97" t="s">
        <v>396</v>
      </c>
      <c r="B278" s="98"/>
      <c r="C278" s="99"/>
      <c r="D278" s="41" t="s">
        <v>1</v>
      </c>
      <c r="E278" s="41" t="s">
        <v>180</v>
      </c>
      <c r="F278" s="59">
        <v>1800</v>
      </c>
      <c r="G278" s="59">
        <v>1999</v>
      </c>
      <c r="H278" s="60">
        <f t="shared" si="21"/>
        <v>139.65849739999999</v>
      </c>
      <c r="I278" s="61">
        <v>0</v>
      </c>
      <c r="J278" s="94" t="s">
        <v>133</v>
      </c>
      <c r="K278" s="94"/>
      <c r="L278" s="94"/>
      <c r="M278" s="94"/>
      <c r="N278" s="27"/>
      <c r="O278" s="27"/>
      <c r="P278" s="27"/>
      <c r="Q278" s="27"/>
      <c r="R278" s="27"/>
    </row>
    <row r="279" spans="1:18" ht="16.350000000000001" customHeight="1" x14ac:dyDescent="0.2">
      <c r="A279" s="97" t="s">
        <v>396</v>
      </c>
      <c r="B279" s="98"/>
      <c r="C279" s="99"/>
      <c r="D279" s="41" t="s">
        <v>1</v>
      </c>
      <c r="E279" s="41" t="s">
        <v>180</v>
      </c>
      <c r="F279" s="59">
        <v>2000</v>
      </c>
      <c r="G279" s="59">
        <v>2399</v>
      </c>
      <c r="H279" s="60">
        <f t="shared" si="21"/>
        <v>137.8121568</v>
      </c>
      <c r="I279" s="61">
        <v>0</v>
      </c>
      <c r="J279" s="94" t="s">
        <v>133</v>
      </c>
      <c r="K279" s="94"/>
      <c r="L279" s="94"/>
      <c r="M279" s="94"/>
      <c r="N279" s="27"/>
      <c r="O279" s="27"/>
      <c r="P279" s="27"/>
      <c r="Q279" s="27"/>
      <c r="R279" s="27"/>
    </row>
    <row r="280" spans="1:18" ht="16.350000000000001" customHeight="1" x14ac:dyDescent="0.2">
      <c r="A280" s="97" t="s">
        <v>396</v>
      </c>
      <c r="B280" s="98"/>
      <c r="C280" s="99"/>
      <c r="D280" s="41" t="s">
        <v>1</v>
      </c>
      <c r="E280" s="41" t="s">
        <v>180</v>
      </c>
      <c r="F280" s="59">
        <v>2400</v>
      </c>
      <c r="G280" s="59">
        <v>2799</v>
      </c>
      <c r="H280" s="60">
        <f t="shared" si="21"/>
        <v>134.5455542</v>
      </c>
      <c r="I280" s="61">
        <v>0</v>
      </c>
      <c r="J280" s="94" t="s">
        <v>133</v>
      </c>
      <c r="K280" s="94"/>
      <c r="L280" s="94"/>
      <c r="M280" s="94"/>
      <c r="N280" s="27"/>
      <c r="O280" s="27"/>
      <c r="P280" s="27"/>
      <c r="Q280" s="27"/>
      <c r="R280" s="27"/>
    </row>
    <row r="281" spans="1:18" ht="16.350000000000001" customHeight="1" x14ac:dyDescent="0.2">
      <c r="A281" s="97" t="s">
        <v>396</v>
      </c>
      <c r="B281" s="98"/>
      <c r="C281" s="99"/>
      <c r="D281" s="41" t="s">
        <v>1</v>
      </c>
      <c r="E281" s="41" t="s">
        <v>180</v>
      </c>
      <c r="F281" s="59">
        <v>2800</v>
      </c>
      <c r="G281" s="59">
        <v>3199</v>
      </c>
      <c r="H281" s="60">
        <f t="shared" si="21"/>
        <v>131.98908260000002</v>
      </c>
      <c r="I281" s="61">
        <v>0</v>
      </c>
      <c r="J281" s="94" t="s">
        <v>133</v>
      </c>
      <c r="K281" s="94"/>
      <c r="L281" s="94"/>
      <c r="M281" s="94"/>
      <c r="N281" s="27"/>
      <c r="O281" s="27"/>
      <c r="P281" s="27"/>
      <c r="Q281" s="27"/>
      <c r="R281" s="27"/>
    </row>
    <row r="282" spans="1:18" ht="16.350000000000001" customHeight="1" x14ac:dyDescent="0.2">
      <c r="A282" s="97" t="s">
        <v>396</v>
      </c>
      <c r="B282" s="98"/>
      <c r="C282" s="99"/>
      <c r="D282" s="41" t="s">
        <v>1</v>
      </c>
      <c r="E282" s="41" t="s">
        <v>180</v>
      </c>
      <c r="F282" s="59">
        <v>3200</v>
      </c>
      <c r="G282" s="59">
        <v>3599</v>
      </c>
      <c r="H282" s="60">
        <f t="shared" si="21"/>
        <v>129.71666340000002</v>
      </c>
      <c r="I282" s="61">
        <v>0</v>
      </c>
      <c r="J282" s="94" t="s">
        <v>133</v>
      </c>
      <c r="K282" s="94"/>
      <c r="L282" s="94"/>
      <c r="M282" s="94"/>
      <c r="N282" s="27"/>
      <c r="O282" s="27"/>
      <c r="P282" s="27"/>
      <c r="Q282" s="27"/>
      <c r="R282" s="27"/>
    </row>
    <row r="283" spans="1:18" ht="16.350000000000001" customHeight="1" x14ac:dyDescent="0.2">
      <c r="A283" s="97" t="s">
        <v>396</v>
      </c>
      <c r="B283" s="98"/>
      <c r="C283" s="99"/>
      <c r="D283" s="41" t="s">
        <v>1</v>
      </c>
      <c r="E283" s="41" t="s">
        <v>180</v>
      </c>
      <c r="F283" s="59">
        <v>3600</v>
      </c>
      <c r="G283" s="59">
        <v>999999</v>
      </c>
      <c r="H283" s="60">
        <f t="shared" si="21"/>
        <v>127.72829660000002</v>
      </c>
      <c r="I283" s="61">
        <v>0</v>
      </c>
      <c r="J283" s="94" t="s">
        <v>133</v>
      </c>
      <c r="K283" s="94"/>
      <c r="L283" s="94"/>
      <c r="M283" s="94"/>
      <c r="N283" s="27"/>
      <c r="O283" s="27"/>
      <c r="P283" s="27"/>
      <c r="Q283" s="27"/>
      <c r="R283" s="27"/>
    </row>
    <row r="284" spans="1:18" ht="16.350000000000001" customHeight="1" x14ac:dyDescent="0.2">
      <c r="A284" s="77" t="s">
        <v>544</v>
      </c>
      <c r="B284" s="42" t="s">
        <v>548</v>
      </c>
      <c r="C284" s="42">
        <f>$O$285*1.085</f>
        <v>199.64</v>
      </c>
      <c r="D284" s="41" t="s">
        <v>1</v>
      </c>
      <c r="E284" s="41" t="s">
        <v>181</v>
      </c>
      <c r="F284" s="59">
        <v>0</v>
      </c>
      <c r="G284" s="59">
        <v>1399</v>
      </c>
      <c r="H284" s="60">
        <f>((C284+$C$18)*($B$6*$D$6))</f>
        <v>179.45639599999998</v>
      </c>
      <c r="I284" s="61">
        <v>0</v>
      </c>
      <c r="J284" s="94" t="s">
        <v>440</v>
      </c>
      <c r="K284" s="94"/>
      <c r="L284" s="94"/>
      <c r="M284" s="94"/>
      <c r="N284" s="27"/>
      <c r="O284" s="27" t="s">
        <v>492</v>
      </c>
      <c r="P284" s="27"/>
      <c r="Q284" s="27"/>
      <c r="R284" s="27"/>
    </row>
    <row r="285" spans="1:18" ht="16.350000000000001" customHeight="1" x14ac:dyDescent="0.2">
      <c r="A285" s="77" t="s">
        <v>544</v>
      </c>
      <c r="B285" s="42" t="s">
        <v>548</v>
      </c>
      <c r="C285" s="42">
        <f>$O$285*1.009</f>
        <v>185.65599999999998</v>
      </c>
      <c r="D285" s="41" t="s">
        <v>1</v>
      </c>
      <c r="E285" s="41" t="s">
        <v>181</v>
      </c>
      <c r="F285" s="59">
        <v>1400</v>
      </c>
      <c r="G285" s="59">
        <v>1599</v>
      </c>
      <c r="H285" s="60">
        <f t="shared" ref="H285:H293" si="22">((C285+$C$18)*($B$6*$D$6))</f>
        <v>166.88617839999998</v>
      </c>
      <c r="I285" s="61">
        <v>0</v>
      </c>
      <c r="J285" s="94" t="s">
        <v>440</v>
      </c>
      <c r="K285" s="94"/>
      <c r="L285" s="94"/>
      <c r="M285" s="94"/>
      <c r="N285" s="27"/>
      <c r="O285" s="27">
        <v>184</v>
      </c>
      <c r="P285" s="27"/>
      <c r="Q285" s="27"/>
      <c r="R285" s="27"/>
    </row>
    <row r="286" spans="1:18" ht="16.350000000000001" customHeight="1" x14ac:dyDescent="0.2">
      <c r="A286" s="77" t="s">
        <v>544</v>
      </c>
      <c r="B286" s="42" t="s">
        <v>548</v>
      </c>
      <c r="C286" s="42">
        <f>$O$285*0.992</f>
        <v>182.52799999999999</v>
      </c>
      <c r="D286" s="41" t="s">
        <v>1</v>
      </c>
      <c r="E286" s="41" t="s">
        <v>181</v>
      </c>
      <c r="F286" s="59">
        <v>1600</v>
      </c>
      <c r="G286" s="59">
        <v>1799</v>
      </c>
      <c r="H286" s="60">
        <f t="shared" si="22"/>
        <v>164.07441919999999</v>
      </c>
      <c r="I286" s="61">
        <v>0</v>
      </c>
      <c r="J286" s="94" t="s">
        <v>440</v>
      </c>
      <c r="K286" s="94"/>
      <c r="L286" s="94"/>
      <c r="M286" s="94"/>
      <c r="N286" s="27"/>
      <c r="O286" s="27" t="s">
        <v>495</v>
      </c>
      <c r="P286" s="27"/>
      <c r="Q286" s="27"/>
      <c r="R286" s="27"/>
    </row>
    <row r="287" spans="1:18" ht="16.350000000000001" customHeight="1" x14ac:dyDescent="0.2">
      <c r="A287" s="77" t="s">
        <v>544</v>
      </c>
      <c r="B287" s="42" t="s">
        <v>548</v>
      </c>
      <c r="C287" s="42">
        <f>$O$285*0.977</f>
        <v>179.768</v>
      </c>
      <c r="D287" s="41" t="s">
        <v>1</v>
      </c>
      <c r="E287" s="41" t="s">
        <v>181</v>
      </c>
      <c r="F287" s="59">
        <v>1800</v>
      </c>
      <c r="G287" s="59">
        <v>1999</v>
      </c>
      <c r="H287" s="60">
        <f t="shared" si="22"/>
        <v>161.59345519999999</v>
      </c>
      <c r="I287" s="61">
        <v>0</v>
      </c>
      <c r="J287" s="94" t="s">
        <v>440</v>
      </c>
      <c r="K287" s="94"/>
      <c r="L287" s="94"/>
      <c r="M287" s="94"/>
      <c r="N287" s="27"/>
      <c r="O287" s="27"/>
      <c r="P287" s="27"/>
      <c r="Q287" s="27"/>
      <c r="R287" s="27"/>
    </row>
    <row r="288" spans="1:18" ht="16.350000000000001" customHeight="1" x14ac:dyDescent="0.2">
      <c r="A288" s="77" t="s">
        <v>544</v>
      </c>
      <c r="B288" s="42" t="s">
        <v>548</v>
      </c>
      <c r="C288" s="42">
        <f>$O$285*0.964</f>
        <v>177.376</v>
      </c>
      <c r="D288" s="41" t="s">
        <v>1</v>
      </c>
      <c r="E288" s="41" t="s">
        <v>181</v>
      </c>
      <c r="F288" s="59">
        <v>2000</v>
      </c>
      <c r="G288" s="59">
        <v>2399</v>
      </c>
      <c r="H288" s="60">
        <f t="shared" si="22"/>
        <v>159.44328640000001</v>
      </c>
      <c r="I288" s="61">
        <v>0</v>
      </c>
      <c r="J288" s="94" t="s">
        <v>440</v>
      </c>
      <c r="K288" s="94"/>
      <c r="L288" s="94"/>
      <c r="M288" s="94"/>
      <c r="N288" s="27"/>
      <c r="O288" s="27"/>
      <c r="P288" s="27"/>
      <c r="Q288" s="27"/>
      <c r="R288" s="27"/>
    </row>
    <row r="289" spans="1:18" ht="16.350000000000001" customHeight="1" x14ac:dyDescent="0.2">
      <c r="A289" s="77" t="s">
        <v>544</v>
      </c>
      <c r="B289" s="42" t="s">
        <v>548</v>
      </c>
      <c r="C289" s="42">
        <f>$O$285*0.941</f>
        <v>173.14399999999998</v>
      </c>
      <c r="D289" s="41" t="s">
        <v>1</v>
      </c>
      <c r="E289" s="41" t="s">
        <v>181</v>
      </c>
      <c r="F289" s="59">
        <v>2400</v>
      </c>
      <c r="G289" s="59">
        <v>2799</v>
      </c>
      <c r="H289" s="60">
        <f t="shared" si="22"/>
        <v>155.63914159999999</v>
      </c>
      <c r="I289" s="61">
        <v>0</v>
      </c>
      <c r="J289" s="94" t="s">
        <v>440</v>
      </c>
      <c r="K289" s="94"/>
      <c r="L289" s="94"/>
      <c r="M289" s="94"/>
      <c r="N289" s="27"/>
      <c r="O289" s="27"/>
      <c r="P289" s="27"/>
      <c r="Q289" s="27"/>
      <c r="R289" s="27"/>
    </row>
    <row r="290" spans="1:18" ht="16.350000000000001" customHeight="1" x14ac:dyDescent="0.2">
      <c r="A290" s="77" t="s">
        <v>544</v>
      </c>
      <c r="B290" s="42" t="s">
        <v>548</v>
      </c>
      <c r="C290" s="42">
        <f>$O$285*0.923</f>
        <v>169.83199999999999</v>
      </c>
      <c r="D290" s="41" t="s">
        <v>1</v>
      </c>
      <c r="E290" s="41" t="s">
        <v>181</v>
      </c>
      <c r="F290" s="59">
        <v>2800</v>
      </c>
      <c r="G290" s="59">
        <v>3199</v>
      </c>
      <c r="H290" s="60">
        <f t="shared" si="22"/>
        <v>152.6619848</v>
      </c>
      <c r="I290" s="61">
        <v>0</v>
      </c>
      <c r="J290" s="94" t="s">
        <v>440</v>
      </c>
      <c r="K290" s="94"/>
      <c r="L290" s="94"/>
      <c r="M290" s="94"/>
      <c r="N290" s="27"/>
      <c r="O290" s="27"/>
      <c r="P290" s="27"/>
      <c r="Q290" s="27"/>
      <c r="R290" s="27"/>
    </row>
    <row r="291" spans="1:18" ht="16.350000000000001" customHeight="1" x14ac:dyDescent="0.2">
      <c r="A291" s="77" t="s">
        <v>544</v>
      </c>
      <c r="B291" s="42" t="s">
        <v>548</v>
      </c>
      <c r="C291" s="42">
        <f>$O$285*0.907</f>
        <v>166.88800000000001</v>
      </c>
      <c r="D291" s="41" t="s">
        <v>1</v>
      </c>
      <c r="E291" s="41" t="s">
        <v>181</v>
      </c>
      <c r="F291" s="59">
        <v>3200</v>
      </c>
      <c r="G291" s="59">
        <v>3599</v>
      </c>
      <c r="H291" s="60">
        <f t="shared" si="22"/>
        <v>150.01562320000002</v>
      </c>
      <c r="I291" s="61">
        <v>0</v>
      </c>
      <c r="J291" s="94" t="s">
        <v>440</v>
      </c>
      <c r="K291" s="94"/>
      <c r="L291" s="94"/>
      <c r="M291" s="94"/>
      <c r="N291" s="27"/>
      <c r="O291" s="27"/>
      <c r="P291" s="27"/>
      <c r="Q291" s="27"/>
      <c r="R291" s="27"/>
    </row>
    <row r="292" spans="1:18" ht="16.350000000000001" customHeight="1" x14ac:dyDescent="0.2">
      <c r="A292" s="77" t="s">
        <v>544</v>
      </c>
      <c r="B292" s="42" t="s">
        <v>548</v>
      </c>
      <c r="C292" s="42">
        <f>$O$285*0.893</f>
        <v>164.31200000000001</v>
      </c>
      <c r="D292" s="41" t="s">
        <v>1</v>
      </c>
      <c r="E292" s="41" t="s">
        <v>181</v>
      </c>
      <c r="F292" s="59">
        <v>3600</v>
      </c>
      <c r="G292" s="59">
        <v>3999</v>
      </c>
      <c r="H292" s="60">
        <f t="shared" si="22"/>
        <v>147.70005680000003</v>
      </c>
      <c r="I292" s="61">
        <v>0</v>
      </c>
      <c r="J292" s="94" t="s">
        <v>440</v>
      </c>
      <c r="K292" s="94"/>
      <c r="L292" s="94"/>
      <c r="M292" s="94"/>
      <c r="N292" s="27"/>
      <c r="O292" s="27"/>
      <c r="P292" s="27"/>
      <c r="Q292" s="27"/>
      <c r="R292" s="27"/>
    </row>
    <row r="293" spans="1:18" ht="16.350000000000001" customHeight="1" x14ac:dyDescent="0.2">
      <c r="A293" s="77" t="s">
        <v>544</v>
      </c>
      <c r="B293" s="42" t="s">
        <v>548</v>
      </c>
      <c r="C293" s="42">
        <f>$O$285*0.881</f>
        <v>162.10400000000001</v>
      </c>
      <c r="D293" s="41" t="s">
        <v>1</v>
      </c>
      <c r="E293" s="41" t="s">
        <v>181</v>
      </c>
      <c r="F293" s="59">
        <v>4000</v>
      </c>
      <c r="G293" s="59">
        <v>999999</v>
      </c>
      <c r="H293" s="60">
        <f t="shared" si="22"/>
        <v>145.71528560000002</v>
      </c>
      <c r="I293" s="61">
        <v>0</v>
      </c>
      <c r="J293" s="94" t="s">
        <v>440</v>
      </c>
      <c r="K293" s="94"/>
      <c r="L293" s="94"/>
      <c r="M293" s="94"/>
      <c r="N293" s="27"/>
      <c r="O293" s="27"/>
      <c r="P293" s="27"/>
      <c r="Q293" s="27"/>
      <c r="R293" s="27"/>
    </row>
    <row r="294" spans="1:18" ht="16.350000000000001" customHeight="1" x14ac:dyDescent="0.2">
      <c r="A294" s="81"/>
      <c r="B294" s="81"/>
      <c r="C294" s="81"/>
      <c r="D294" s="82"/>
      <c r="E294" s="82"/>
      <c r="F294" s="83"/>
      <c r="G294" s="83"/>
      <c r="H294" s="84"/>
      <c r="I294" s="85"/>
      <c r="J294" s="86"/>
      <c r="K294" s="86"/>
      <c r="L294" s="86"/>
      <c r="M294" s="86"/>
      <c r="N294" s="27"/>
      <c r="O294" s="27"/>
      <c r="P294" s="27"/>
      <c r="Q294" s="27"/>
      <c r="R294" s="27"/>
    </row>
    <row r="295" spans="1:18" ht="16.350000000000001" customHeight="1" x14ac:dyDescent="0.2">
      <c r="D295" s="27"/>
      <c r="E295" s="27"/>
      <c r="F295" s="64"/>
      <c r="G295" s="64"/>
      <c r="H295" s="65"/>
      <c r="I295" s="26"/>
      <c r="J295" s="54"/>
      <c r="K295" s="54"/>
      <c r="L295" s="54"/>
      <c r="M295" s="54"/>
      <c r="N295" s="27"/>
      <c r="O295" s="27"/>
      <c r="P295" s="27"/>
      <c r="Q295" s="27"/>
      <c r="R295" s="27"/>
    </row>
    <row r="296" spans="1:18" ht="16.350000000000001" customHeight="1" x14ac:dyDescent="0.2">
      <c r="D296" s="27"/>
      <c r="E296" s="27"/>
      <c r="F296" s="64"/>
      <c r="G296" s="64"/>
      <c r="H296" s="65"/>
      <c r="I296" s="26"/>
      <c r="J296" s="54"/>
      <c r="K296" s="54"/>
      <c r="L296" s="54"/>
      <c r="M296" s="54"/>
      <c r="N296" s="27"/>
      <c r="O296" s="27"/>
      <c r="P296" s="27"/>
      <c r="Q296" s="27"/>
      <c r="R296" s="27"/>
    </row>
    <row r="297" spans="1:18" ht="16.350000000000001" customHeight="1" x14ac:dyDescent="0.2">
      <c r="A297" s="55" t="s">
        <v>389</v>
      </c>
      <c r="B297" s="55" t="s">
        <v>390</v>
      </c>
      <c r="C297" s="55" t="s">
        <v>391</v>
      </c>
      <c r="D297" s="56" t="s">
        <v>2</v>
      </c>
      <c r="E297" s="55" t="s">
        <v>334</v>
      </c>
      <c r="F297" s="66" t="s">
        <v>333</v>
      </c>
      <c r="G297" s="66" t="s">
        <v>333</v>
      </c>
      <c r="H297" s="57" t="s">
        <v>335</v>
      </c>
      <c r="I297" s="58" t="s">
        <v>336</v>
      </c>
      <c r="J297" s="95" t="s">
        <v>0</v>
      </c>
      <c r="K297" s="95"/>
      <c r="L297" s="95"/>
      <c r="M297" s="95"/>
      <c r="N297" s="27"/>
      <c r="O297" s="27"/>
      <c r="P297" s="27"/>
      <c r="Q297" s="27"/>
      <c r="R297" s="27"/>
    </row>
    <row r="298" spans="1:18" ht="16.350000000000001" customHeight="1" x14ac:dyDescent="0.2">
      <c r="A298" s="97" t="s">
        <v>397</v>
      </c>
      <c r="B298" s="98"/>
      <c r="C298" s="99"/>
      <c r="D298" s="41" t="s">
        <v>1</v>
      </c>
      <c r="E298" s="41" t="s">
        <v>182</v>
      </c>
      <c r="F298" s="59">
        <v>0</v>
      </c>
      <c r="G298" s="59">
        <v>1399</v>
      </c>
      <c r="H298" s="60">
        <f>((H284+H308)/2)</f>
        <v>196.62448710000001</v>
      </c>
      <c r="I298" s="61">
        <v>0</v>
      </c>
      <c r="J298" s="94" t="s">
        <v>134</v>
      </c>
      <c r="K298" s="94"/>
      <c r="L298" s="94"/>
      <c r="M298" s="94"/>
      <c r="N298" s="27"/>
      <c r="O298" s="27"/>
      <c r="P298" s="27"/>
      <c r="Q298" s="27"/>
      <c r="R298" s="27"/>
    </row>
    <row r="299" spans="1:18" ht="16.350000000000001" customHeight="1" x14ac:dyDescent="0.2">
      <c r="A299" s="97" t="s">
        <v>397</v>
      </c>
      <c r="B299" s="98"/>
      <c r="C299" s="99"/>
      <c r="D299" s="41" t="s">
        <v>1</v>
      </c>
      <c r="E299" s="41" t="s">
        <v>182</v>
      </c>
      <c r="F299" s="59">
        <v>1400</v>
      </c>
      <c r="G299" s="59">
        <v>1599</v>
      </c>
      <c r="H299" s="60">
        <f t="shared" ref="H299:H307" si="23">((H285+H308)/2)</f>
        <v>190.33937829999999</v>
      </c>
      <c r="I299" s="61">
        <v>0</v>
      </c>
      <c r="J299" s="94" t="s">
        <v>134</v>
      </c>
      <c r="K299" s="94"/>
      <c r="L299" s="94"/>
      <c r="M299" s="94"/>
      <c r="N299" s="27"/>
      <c r="O299" s="27"/>
      <c r="P299" s="27"/>
      <c r="Q299" s="27"/>
      <c r="R299" s="27"/>
    </row>
    <row r="300" spans="1:18" ht="16.350000000000001" customHeight="1" x14ac:dyDescent="0.2">
      <c r="A300" s="97" t="s">
        <v>397</v>
      </c>
      <c r="B300" s="98"/>
      <c r="C300" s="99"/>
      <c r="D300" s="41" t="s">
        <v>1</v>
      </c>
      <c r="E300" s="41" t="s">
        <v>182</v>
      </c>
      <c r="F300" s="59">
        <v>1600</v>
      </c>
      <c r="G300" s="59">
        <v>1799</v>
      </c>
      <c r="H300" s="60">
        <f t="shared" si="23"/>
        <v>183.54459320000001</v>
      </c>
      <c r="I300" s="61">
        <v>0</v>
      </c>
      <c r="J300" s="94" t="s">
        <v>134</v>
      </c>
      <c r="K300" s="94"/>
      <c r="L300" s="94"/>
      <c r="M300" s="94"/>
      <c r="N300" s="27"/>
      <c r="O300" s="27"/>
      <c r="P300" s="27"/>
      <c r="Q300" s="27"/>
      <c r="R300" s="27"/>
    </row>
    <row r="301" spans="1:18" ht="16.350000000000001" customHeight="1" x14ac:dyDescent="0.2">
      <c r="A301" s="97" t="s">
        <v>397</v>
      </c>
      <c r="B301" s="98"/>
      <c r="C301" s="99"/>
      <c r="D301" s="41" t="s">
        <v>1</v>
      </c>
      <c r="E301" s="41" t="s">
        <v>182</v>
      </c>
      <c r="F301" s="59">
        <v>1800</v>
      </c>
      <c r="G301" s="59">
        <v>1999</v>
      </c>
      <c r="H301" s="60">
        <f t="shared" si="23"/>
        <v>181.03036989999998</v>
      </c>
      <c r="I301" s="61">
        <v>0</v>
      </c>
      <c r="J301" s="94" t="s">
        <v>134</v>
      </c>
      <c r="K301" s="94"/>
      <c r="L301" s="94"/>
      <c r="M301" s="94"/>
      <c r="N301" s="27"/>
      <c r="O301" s="27"/>
      <c r="P301" s="27"/>
      <c r="Q301" s="27"/>
      <c r="R301" s="27"/>
    </row>
    <row r="302" spans="1:18" ht="16.350000000000001" customHeight="1" x14ac:dyDescent="0.2">
      <c r="A302" s="97" t="s">
        <v>397</v>
      </c>
      <c r="B302" s="98"/>
      <c r="C302" s="99"/>
      <c r="D302" s="41" t="s">
        <v>1</v>
      </c>
      <c r="E302" s="41" t="s">
        <v>182</v>
      </c>
      <c r="F302" s="59">
        <v>2000</v>
      </c>
      <c r="G302" s="59">
        <v>2399</v>
      </c>
      <c r="H302" s="60">
        <f t="shared" si="23"/>
        <v>178.77952429999999</v>
      </c>
      <c r="I302" s="61">
        <v>0</v>
      </c>
      <c r="J302" s="94" t="s">
        <v>134</v>
      </c>
      <c r="K302" s="94"/>
      <c r="L302" s="94"/>
      <c r="M302" s="94"/>
      <c r="N302" s="27"/>
      <c r="O302" s="27"/>
      <c r="P302" s="27"/>
      <c r="Q302" s="27"/>
      <c r="R302" s="27"/>
    </row>
    <row r="303" spans="1:18" ht="16.350000000000001" customHeight="1" x14ac:dyDescent="0.2">
      <c r="A303" s="97" t="s">
        <v>397</v>
      </c>
      <c r="B303" s="98"/>
      <c r="C303" s="99"/>
      <c r="D303" s="41" t="s">
        <v>1</v>
      </c>
      <c r="E303" s="41" t="s">
        <v>182</v>
      </c>
      <c r="F303" s="59">
        <v>2400</v>
      </c>
      <c r="G303" s="59">
        <v>2799</v>
      </c>
      <c r="H303" s="60">
        <f t="shared" si="23"/>
        <v>174.91784990000002</v>
      </c>
      <c r="I303" s="61">
        <v>0</v>
      </c>
      <c r="J303" s="94" t="s">
        <v>134</v>
      </c>
      <c r="K303" s="94"/>
      <c r="L303" s="94"/>
      <c r="M303" s="94"/>
      <c r="N303" s="27"/>
      <c r="O303" s="27"/>
      <c r="P303" s="27"/>
      <c r="Q303" s="27"/>
      <c r="R303" s="27"/>
    </row>
    <row r="304" spans="1:18" ht="16.350000000000001" customHeight="1" x14ac:dyDescent="0.2">
      <c r="A304" s="97" t="s">
        <v>397</v>
      </c>
      <c r="B304" s="98"/>
      <c r="C304" s="99"/>
      <c r="D304" s="41" t="s">
        <v>1</v>
      </c>
      <c r="E304" s="41" t="s">
        <v>182</v>
      </c>
      <c r="F304" s="59">
        <v>2800</v>
      </c>
      <c r="G304" s="59">
        <v>3199</v>
      </c>
      <c r="H304" s="60">
        <f t="shared" si="23"/>
        <v>171.76360979999998</v>
      </c>
      <c r="I304" s="61">
        <v>0</v>
      </c>
      <c r="J304" s="94" t="s">
        <v>134</v>
      </c>
      <c r="K304" s="94"/>
      <c r="L304" s="94"/>
      <c r="M304" s="94"/>
      <c r="N304" s="27"/>
      <c r="O304" s="27"/>
      <c r="P304" s="27"/>
      <c r="Q304" s="27"/>
      <c r="R304" s="27"/>
    </row>
    <row r="305" spans="1:18" ht="16.350000000000001" customHeight="1" x14ac:dyDescent="0.2">
      <c r="A305" s="97" t="s">
        <v>397</v>
      </c>
      <c r="B305" s="98"/>
      <c r="C305" s="99"/>
      <c r="D305" s="41" t="s">
        <v>1</v>
      </c>
      <c r="E305" s="41" t="s">
        <v>182</v>
      </c>
      <c r="F305" s="59">
        <v>3200</v>
      </c>
      <c r="G305" s="59">
        <v>3599</v>
      </c>
      <c r="H305" s="60">
        <f t="shared" si="23"/>
        <v>169.06870760000001</v>
      </c>
      <c r="I305" s="61">
        <v>0</v>
      </c>
      <c r="J305" s="94" t="s">
        <v>134</v>
      </c>
      <c r="K305" s="94"/>
      <c r="L305" s="94"/>
      <c r="M305" s="94"/>
      <c r="N305" s="27"/>
      <c r="O305" s="27"/>
      <c r="P305" s="27"/>
      <c r="Q305" s="27"/>
      <c r="R305" s="27"/>
    </row>
    <row r="306" spans="1:18" ht="16.350000000000001" customHeight="1" x14ac:dyDescent="0.2">
      <c r="A306" s="97" t="s">
        <v>397</v>
      </c>
      <c r="B306" s="98"/>
      <c r="C306" s="99"/>
      <c r="D306" s="41" t="s">
        <v>1</v>
      </c>
      <c r="E306" s="41" t="s">
        <v>182</v>
      </c>
      <c r="F306" s="59">
        <v>3600</v>
      </c>
      <c r="G306" s="59">
        <v>3999</v>
      </c>
      <c r="H306" s="60">
        <f t="shared" si="23"/>
        <v>166.73516320000002</v>
      </c>
      <c r="I306" s="61">
        <v>0</v>
      </c>
      <c r="J306" s="94" t="s">
        <v>134</v>
      </c>
      <c r="K306" s="94"/>
      <c r="L306" s="94"/>
      <c r="M306" s="94"/>
      <c r="N306" s="27"/>
      <c r="O306" s="27"/>
      <c r="P306" s="27"/>
      <c r="Q306" s="27"/>
      <c r="R306" s="27"/>
    </row>
    <row r="307" spans="1:18" ht="16.350000000000001" customHeight="1" x14ac:dyDescent="0.2">
      <c r="A307" s="97" t="s">
        <v>397</v>
      </c>
      <c r="B307" s="98"/>
      <c r="C307" s="99"/>
      <c r="D307" s="41" t="s">
        <v>1</v>
      </c>
      <c r="E307" s="41" t="s">
        <v>182</v>
      </c>
      <c r="F307" s="59">
        <v>4000</v>
      </c>
      <c r="G307" s="59">
        <v>999999</v>
      </c>
      <c r="H307" s="60">
        <f t="shared" si="23"/>
        <v>164.66499650000003</v>
      </c>
      <c r="I307" s="61">
        <v>0</v>
      </c>
      <c r="J307" s="94" t="s">
        <v>134</v>
      </c>
      <c r="K307" s="94"/>
      <c r="L307" s="94"/>
      <c r="M307" s="94"/>
      <c r="N307" s="27"/>
      <c r="O307" s="27"/>
      <c r="P307" s="27"/>
      <c r="Q307" s="27"/>
      <c r="R307" s="27"/>
    </row>
    <row r="308" spans="1:18" ht="16.350000000000001" customHeight="1" x14ac:dyDescent="0.2">
      <c r="A308" s="77" t="s">
        <v>544</v>
      </c>
      <c r="B308" s="42" t="s">
        <v>549</v>
      </c>
      <c r="C308" s="42">
        <f>$O$309*1.091</f>
        <v>237.83799999999999</v>
      </c>
      <c r="D308" s="41" t="s">
        <v>1</v>
      </c>
      <c r="E308" s="41" t="s">
        <v>183</v>
      </c>
      <c r="F308" s="59">
        <v>0</v>
      </c>
      <c r="G308" s="59">
        <v>1599</v>
      </c>
      <c r="H308" s="60">
        <f>((C308+$C$20)*($B$6*$D$6))</f>
        <v>213.79257820000001</v>
      </c>
      <c r="I308" s="61">
        <v>0</v>
      </c>
      <c r="J308" s="94" t="s">
        <v>135</v>
      </c>
      <c r="K308" s="94"/>
      <c r="L308" s="94"/>
      <c r="M308" s="94"/>
      <c r="N308" s="27"/>
      <c r="O308" s="27" t="s">
        <v>492</v>
      </c>
      <c r="P308" s="27"/>
      <c r="Q308" s="27"/>
      <c r="R308" s="27"/>
    </row>
    <row r="309" spans="1:18" ht="16.350000000000001" customHeight="1" x14ac:dyDescent="0.2">
      <c r="A309" s="77" t="s">
        <v>544</v>
      </c>
      <c r="B309" s="42" t="s">
        <v>549</v>
      </c>
      <c r="C309" s="42">
        <f>$O$309*1.036</f>
        <v>225.84800000000001</v>
      </c>
      <c r="D309" s="41" t="s">
        <v>1</v>
      </c>
      <c r="E309" s="41" t="s">
        <v>183</v>
      </c>
      <c r="F309" s="59">
        <v>1600</v>
      </c>
      <c r="G309" s="59">
        <v>1799</v>
      </c>
      <c r="H309" s="60">
        <f t="shared" ref="H309:H317" si="24">((C309+$C$20)*($B$6*$D$6))</f>
        <v>203.01476720000002</v>
      </c>
      <c r="I309" s="61">
        <v>0</v>
      </c>
      <c r="J309" s="94" t="s">
        <v>135</v>
      </c>
      <c r="K309" s="94"/>
      <c r="L309" s="94"/>
      <c r="M309" s="94"/>
      <c r="N309" s="27"/>
      <c r="O309" s="27">
        <v>218</v>
      </c>
      <c r="P309" s="27"/>
      <c r="Q309" s="27"/>
      <c r="R309" s="27"/>
    </row>
    <row r="310" spans="1:18" ht="16.350000000000001" customHeight="1" x14ac:dyDescent="0.2">
      <c r="A310" s="77" t="s">
        <v>544</v>
      </c>
      <c r="B310" s="42" t="s">
        <v>549</v>
      </c>
      <c r="C310" s="42">
        <f>$O$309*1.023</f>
        <v>223.01399999999998</v>
      </c>
      <c r="D310" s="41" t="s">
        <v>1</v>
      </c>
      <c r="E310" s="41" t="s">
        <v>183</v>
      </c>
      <c r="F310" s="59">
        <v>1800</v>
      </c>
      <c r="G310" s="59">
        <v>1999</v>
      </c>
      <c r="H310" s="60">
        <f t="shared" si="24"/>
        <v>200.4672846</v>
      </c>
      <c r="I310" s="61">
        <v>0</v>
      </c>
      <c r="J310" s="94" t="s">
        <v>135</v>
      </c>
      <c r="K310" s="94"/>
      <c r="L310" s="94"/>
      <c r="M310" s="94"/>
      <c r="N310" s="27"/>
      <c r="O310" s="27" t="s">
        <v>496</v>
      </c>
      <c r="P310" s="27"/>
      <c r="Q310" s="27"/>
      <c r="R310" s="27"/>
    </row>
    <row r="311" spans="1:18" ht="16.350000000000001" customHeight="1" x14ac:dyDescent="0.2">
      <c r="A311" s="77" t="s">
        <v>544</v>
      </c>
      <c r="B311" s="42" t="s">
        <v>549</v>
      </c>
      <c r="C311" s="42">
        <f>$O$309*1.011</f>
        <v>220.39799999999997</v>
      </c>
      <c r="D311" s="41" t="s">
        <v>1</v>
      </c>
      <c r="E311" s="41" t="s">
        <v>183</v>
      </c>
      <c r="F311" s="59">
        <v>2000</v>
      </c>
      <c r="G311" s="59">
        <v>2399</v>
      </c>
      <c r="H311" s="60">
        <f t="shared" si="24"/>
        <v>198.11576219999998</v>
      </c>
      <c r="I311" s="61">
        <v>0</v>
      </c>
      <c r="J311" s="94" t="s">
        <v>135</v>
      </c>
      <c r="K311" s="94"/>
      <c r="L311" s="94"/>
      <c r="M311" s="94"/>
      <c r="N311" s="27"/>
      <c r="O311" s="27"/>
      <c r="P311" s="27"/>
      <c r="Q311" s="27"/>
      <c r="R311" s="27"/>
    </row>
    <row r="312" spans="1:18" ht="16.350000000000001" customHeight="1" x14ac:dyDescent="0.2">
      <c r="A312" s="77" t="s">
        <v>544</v>
      </c>
      <c r="B312" s="42" t="s">
        <v>549</v>
      </c>
      <c r="C312" s="42">
        <f>$O$309*0.991</f>
        <v>216.03800000000001</v>
      </c>
      <c r="D312" s="41" t="s">
        <v>1</v>
      </c>
      <c r="E312" s="41" t="s">
        <v>183</v>
      </c>
      <c r="F312" s="59">
        <v>2400</v>
      </c>
      <c r="G312" s="59">
        <v>2799</v>
      </c>
      <c r="H312" s="60">
        <f t="shared" si="24"/>
        <v>194.19655820000003</v>
      </c>
      <c r="I312" s="61">
        <v>0</v>
      </c>
      <c r="J312" s="94" t="s">
        <v>135</v>
      </c>
      <c r="K312" s="94"/>
      <c r="L312" s="94"/>
      <c r="M312" s="94"/>
      <c r="N312" s="27"/>
      <c r="O312" s="27"/>
      <c r="P312" s="27"/>
      <c r="Q312" s="27"/>
      <c r="R312" s="27"/>
    </row>
    <row r="313" spans="1:18" ht="16.350000000000001" customHeight="1" x14ac:dyDescent="0.2">
      <c r="A313" s="77" t="s">
        <v>544</v>
      </c>
      <c r="B313" s="42" t="s">
        <v>549</v>
      </c>
      <c r="C313" s="42">
        <f>$O$309*0.974</f>
        <v>212.33199999999999</v>
      </c>
      <c r="D313" s="41" t="s">
        <v>1</v>
      </c>
      <c r="E313" s="41" t="s">
        <v>183</v>
      </c>
      <c r="F313" s="59">
        <v>2800</v>
      </c>
      <c r="G313" s="59">
        <v>3199</v>
      </c>
      <c r="H313" s="60">
        <f t="shared" si="24"/>
        <v>190.8652348</v>
      </c>
      <c r="I313" s="61">
        <v>0</v>
      </c>
      <c r="J313" s="94" t="s">
        <v>135</v>
      </c>
      <c r="K313" s="94"/>
      <c r="L313" s="94"/>
      <c r="M313" s="94"/>
      <c r="N313" s="27"/>
      <c r="O313" s="27"/>
      <c r="P313" s="27"/>
      <c r="Q313" s="27"/>
      <c r="R313" s="27"/>
    </row>
    <row r="314" spans="1:18" ht="16.350000000000001" customHeight="1" x14ac:dyDescent="0.2">
      <c r="A314" s="77" t="s">
        <v>544</v>
      </c>
      <c r="B314" s="42" t="s">
        <v>549</v>
      </c>
      <c r="C314" s="42">
        <f>$O$309*0.96</f>
        <v>209.28</v>
      </c>
      <c r="D314" s="41" t="s">
        <v>1</v>
      </c>
      <c r="E314" s="41" t="s">
        <v>183</v>
      </c>
      <c r="F314" s="59">
        <v>3200</v>
      </c>
      <c r="G314" s="59">
        <v>3599</v>
      </c>
      <c r="H314" s="60">
        <f t="shared" si="24"/>
        <v>188.121792</v>
      </c>
      <c r="I314" s="61">
        <v>0</v>
      </c>
      <c r="J314" s="94" t="s">
        <v>135</v>
      </c>
      <c r="K314" s="94"/>
      <c r="L314" s="94"/>
      <c r="M314" s="94"/>
      <c r="N314" s="27"/>
      <c r="O314" s="27"/>
      <c r="P314" s="27"/>
      <c r="Q314" s="27"/>
      <c r="R314" s="27"/>
    </row>
    <row r="315" spans="1:18" ht="16.350000000000001" customHeight="1" x14ac:dyDescent="0.2">
      <c r="A315" s="77" t="s">
        <v>544</v>
      </c>
      <c r="B315" s="42" t="s">
        <v>549</v>
      </c>
      <c r="C315" s="42">
        <f>$O$309*0.948</f>
        <v>206.66399999999999</v>
      </c>
      <c r="D315" s="41" t="s">
        <v>1</v>
      </c>
      <c r="E315" s="41" t="s">
        <v>183</v>
      </c>
      <c r="F315" s="59">
        <v>3600</v>
      </c>
      <c r="G315" s="59">
        <v>3999</v>
      </c>
      <c r="H315" s="60">
        <f t="shared" si="24"/>
        <v>185.77026960000001</v>
      </c>
      <c r="I315" s="61">
        <v>0</v>
      </c>
      <c r="J315" s="94" t="s">
        <v>135</v>
      </c>
      <c r="K315" s="94"/>
      <c r="L315" s="94"/>
      <c r="M315" s="94"/>
      <c r="N315" s="27"/>
      <c r="O315" s="27"/>
      <c r="P315" s="27"/>
      <c r="Q315" s="27"/>
      <c r="R315" s="27"/>
    </row>
    <row r="316" spans="1:18" ht="16.350000000000001" customHeight="1" x14ac:dyDescent="0.2">
      <c r="A316" s="77" t="s">
        <v>544</v>
      </c>
      <c r="B316" s="42" t="s">
        <v>549</v>
      </c>
      <c r="C316" s="42">
        <f>$O$309*0.937</f>
        <v>204.26600000000002</v>
      </c>
      <c r="D316" s="41" t="s">
        <v>1</v>
      </c>
      <c r="E316" s="41" t="s">
        <v>183</v>
      </c>
      <c r="F316" s="59">
        <v>4000</v>
      </c>
      <c r="G316" s="59">
        <v>4399</v>
      </c>
      <c r="H316" s="60">
        <f t="shared" si="24"/>
        <v>183.61470740000001</v>
      </c>
      <c r="I316" s="61">
        <v>0</v>
      </c>
      <c r="J316" s="94" t="s">
        <v>135</v>
      </c>
      <c r="K316" s="94"/>
      <c r="L316" s="94"/>
      <c r="M316" s="94"/>
      <c r="N316" s="27"/>
      <c r="O316" s="27"/>
      <c r="P316" s="27"/>
      <c r="Q316" s="27"/>
      <c r="R316" s="27"/>
    </row>
    <row r="317" spans="1:18" ht="16.350000000000001" customHeight="1" x14ac:dyDescent="0.2">
      <c r="A317" s="77" t="s">
        <v>544</v>
      </c>
      <c r="B317" s="42" t="s">
        <v>549</v>
      </c>
      <c r="C317" s="42">
        <f>$O$309*0.927</f>
        <v>202.08600000000001</v>
      </c>
      <c r="D317" s="41" t="s">
        <v>1</v>
      </c>
      <c r="E317" s="41" t="s">
        <v>183</v>
      </c>
      <c r="F317" s="59">
        <v>4400</v>
      </c>
      <c r="G317" s="59">
        <v>999999</v>
      </c>
      <c r="H317" s="60">
        <f t="shared" si="24"/>
        <v>181.65510540000002</v>
      </c>
      <c r="I317" s="61">
        <v>0</v>
      </c>
      <c r="J317" s="94" t="s">
        <v>135</v>
      </c>
      <c r="K317" s="94"/>
      <c r="L317" s="94"/>
      <c r="M317" s="94"/>
      <c r="N317" s="27"/>
      <c r="O317" s="27"/>
      <c r="P317" s="27"/>
      <c r="Q317" s="27"/>
      <c r="R317" s="27"/>
    </row>
    <row r="318" spans="1:18" ht="16.350000000000001" customHeight="1" x14ac:dyDescent="0.2">
      <c r="A318" s="97" t="s">
        <v>398</v>
      </c>
      <c r="B318" s="98"/>
      <c r="C318" s="99"/>
      <c r="D318" s="41" t="s">
        <v>1</v>
      </c>
      <c r="E318" s="41" t="s">
        <v>184</v>
      </c>
      <c r="F318" s="59">
        <v>0</v>
      </c>
      <c r="G318" s="59">
        <v>1599</v>
      </c>
      <c r="H318" s="60">
        <f>((H308+H332)/2)</f>
        <v>232.90319220000001</v>
      </c>
      <c r="I318" s="61">
        <v>0</v>
      </c>
      <c r="J318" s="94" t="s">
        <v>128</v>
      </c>
      <c r="K318" s="94"/>
      <c r="L318" s="94"/>
      <c r="M318" s="94"/>
      <c r="N318" s="27"/>
      <c r="O318" s="27"/>
      <c r="P318" s="27"/>
      <c r="Q318" s="27"/>
      <c r="R318" s="27"/>
    </row>
    <row r="319" spans="1:18" ht="16.350000000000001" customHeight="1" x14ac:dyDescent="0.2">
      <c r="A319" s="97" t="s">
        <v>398</v>
      </c>
      <c r="B319" s="98"/>
      <c r="C319" s="99"/>
      <c r="D319" s="41" t="s">
        <v>1</v>
      </c>
      <c r="E319" s="41" t="s">
        <v>184</v>
      </c>
      <c r="F319" s="59">
        <v>1600</v>
      </c>
      <c r="G319" s="59">
        <v>1999</v>
      </c>
      <c r="H319" s="60">
        <f>((H309+H332)/2)</f>
        <v>227.51428670000001</v>
      </c>
      <c r="I319" s="61">
        <v>0</v>
      </c>
      <c r="J319" s="94" t="s">
        <v>128</v>
      </c>
      <c r="K319" s="94"/>
      <c r="L319" s="94"/>
      <c r="M319" s="94"/>
      <c r="N319" s="27"/>
      <c r="O319" s="27"/>
      <c r="P319" s="27"/>
      <c r="Q319" s="27"/>
      <c r="R319" s="27"/>
    </row>
    <row r="320" spans="1:18" ht="16.350000000000001" customHeight="1" x14ac:dyDescent="0.2">
      <c r="A320" s="97" t="s">
        <v>398</v>
      </c>
      <c r="B320" s="98"/>
      <c r="C320" s="99"/>
      <c r="D320" s="41" t="s">
        <v>1</v>
      </c>
      <c r="E320" s="41" t="s">
        <v>184</v>
      </c>
      <c r="F320" s="59">
        <v>2000</v>
      </c>
      <c r="G320" s="59">
        <v>2199</v>
      </c>
      <c r="H320" s="60">
        <f>((H311+H333)/2)</f>
        <v>222.46426650000001</v>
      </c>
      <c r="I320" s="61">
        <v>0</v>
      </c>
      <c r="J320" s="94" t="s">
        <v>128</v>
      </c>
      <c r="K320" s="94"/>
      <c r="L320" s="94"/>
      <c r="M320" s="94"/>
      <c r="N320" s="27"/>
      <c r="O320" s="27"/>
      <c r="P320" s="27"/>
      <c r="Q320" s="27"/>
      <c r="R320" s="27"/>
    </row>
    <row r="321" spans="1:18" ht="16.350000000000001" customHeight="1" x14ac:dyDescent="0.2">
      <c r="A321" s="97" t="s">
        <v>398</v>
      </c>
      <c r="B321" s="98"/>
      <c r="C321" s="99"/>
      <c r="D321" s="41" t="s">
        <v>1</v>
      </c>
      <c r="E321" s="41" t="s">
        <v>184</v>
      </c>
      <c r="F321" s="59">
        <v>2200</v>
      </c>
      <c r="G321" s="59">
        <v>2599</v>
      </c>
      <c r="H321" s="60">
        <f>((H311+H312+H333+H334)/4)</f>
        <v>220.47972002500001</v>
      </c>
      <c r="I321" s="61">
        <v>0</v>
      </c>
      <c r="J321" s="94" t="s">
        <v>128</v>
      </c>
      <c r="K321" s="94"/>
      <c r="L321" s="94"/>
      <c r="M321" s="94"/>
      <c r="N321" s="27"/>
      <c r="O321" s="27"/>
      <c r="P321" s="27"/>
      <c r="Q321" s="27"/>
      <c r="R321" s="27"/>
    </row>
    <row r="322" spans="1:18" ht="16.350000000000001" customHeight="1" x14ac:dyDescent="0.2">
      <c r="A322" s="97" t="s">
        <v>398</v>
      </c>
      <c r="B322" s="98"/>
      <c r="C322" s="99"/>
      <c r="D322" s="41" t="s">
        <v>1</v>
      </c>
      <c r="E322" s="41" t="s">
        <v>184</v>
      </c>
      <c r="F322" s="59">
        <v>2600</v>
      </c>
      <c r="G322" s="59">
        <v>2799</v>
      </c>
      <c r="H322" s="60">
        <f>((H312+H313+H334+H335)/4)</f>
        <v>216.83490525000002</v>
      </c>
      <c r="I322" s="61">
        <v>0</v>
      </c>
      <c r="J322" s="94" t="s">
        <v>128</v>
      </c>
      <c r="K322" s="94"/>
      <c r="L322" s="94"/>
      <c r="M322" s="94"/>
      <c r="N322" s="27"/>
      <c r="O322" s="27"/>
      <c r="P322" s="27"/>
      <c r="Q322" s="27"/>
      <c r="R322" s="27"/>
    </row>
    <row r="323" spans="1:18" ht="16.350000000000001" customHeight="1" x14ac:dyDescent="0.2">
      <c r="A323" s="97" t="s">
        <v>398</v>
      </c>
      <c r="B323" s="98"/>
      <c r="C323" s="99"/>
      <c r="D323" s="41" t="s">
        <v>1</v>
      </c>
      <c r="E323" s="41" t="s">
        <v>184</v>
      </c>
      <c r="F323" s="59">
        <v>2800</v>
      </c>
      <c r="G323" s="59">
        <v>3199</v>
      </c>
      <c r="H323" s="60">
        <f>((H313+H335)/2)</f>
        <v>215.17463694999998</v>
      </c>
      <c r="I323" s="61">
        <v>0</v>
      </c>
      <c r="J323" s="94" t="s">
        <v>128</v>
      </c>
      <c r="K323" s="94"/>
      <c r="L323" s="94"/>
      <c r="M323" s="94"/>
      <c r="N323" s="27"/>
      <c r="O323" s="27"/>
      <c r="P323" s="27"/>
      <c r="Q323" s="27"/>
      <c r="R323" s="27"/>
    </row>
    <row r="324" spans="1:18" ht="16.350000000000001" customHeight="1" x14ac:dyDescent="0.2">
      <c r="A324" s="97" t="s">
        <v>398</v>
      </c>
      <c r="B324" s="98"/>
      <c r="C324" s="99"/>
      <c r="D324" s="41" t="s">
        <v>1</v>
      </c>
      <c r="E324" s="41" t="s">
        <v>184</v>
      </c>
      <c r="F324" s="59">
        <v>3200</v>
      </c>
      <c r="G324" s="59">
        <v>3599</v>
      </c>
      <c r="H324" s="60">
        <f>((H314+H336)/2)</f>
        <v>212.26624600000002</v>
      </c>
      <c r="I324" s="61">
        <v>0</v>
      </c>
      <c r="J324" s="94" t="s">
        <v>128</v>
      </c>
      <c r="K324" s="94"/>
      <c r="L324" s="94"/>
      <c r="M324" s="94"/>
      <c r="N324" s="27"/>
      <c r="O324" s="27"/>
      <c r="P324" s="27"/>
      <c r="Q324" s="27"/>
      <c r="R324" s="27"/>
    </row>
    <row r="325" spans="1:18" ht="16.350000000000001" customHeight="1" x14ac:dyDescent="0.2">
      <c r="A325" s="97" t="s">
        <v>398</v>
      </c>
      <c r="B325" s="98"/>
      <c r="C325" s="99"/>
      <c r="D325" s="41" t="s">
        <v>1</v>
      </c>
      <c r="E325" s="41" t="s">
        <v>184</v>
      </c>
      <c r="F325" s="59">
        <v>3600</v>
      </c>
      <c r="G325" s="59">
        <v>3999</v>
      </c>
      <c r="H325" s="60">
        <f>((H315+H337)/2)</f>
        <v>209.90843130000002</v>
      </c>
      <c r="I325" s="61">
        <v>0</v>
      </c>
      <c r="J325" s="94" t="s">
        <v>128</v>
      </c>
      <c r="K325" s="94"/>
      <c r="L325" s="94"/>
      <c r="M325" s="94"/>
      <c r="N325" s="27"/>
      <c r="O325" s="27"/>
      <c r="P325" s="27"/>
      <c r="Q325" s="27"/>
      <c r="R325" s="27"/>
    </row>
    <row r="326" spans="1:18" ht="16.350000000000001" customHeight="1" x14ac:dyDescent="0.2">
      <c r="A326" s="97" t="s">
        <v>398</v>
      </c>
      <c r="B326" s="98"/>
      <c r="C326" s="99"/>
      <c r="D326" s="41" t="s">
        <v>1</v>
      </c>
      <c r="E326" s="41" t="s">
        <v>184</v>
      </c>
      <c r="F326" s="59">
        <v>4000</v>
      </c>
      <c r="G326" s="59">
        <v>4399</v>
      </c>
      <c r="H326" s="60">
        <f>((H316+H338)/2)</f>
        <v>207.64859670000001</v>
      </c>
      <c r="I326" s="61">
        <v>0</v>
      </c>
      <c r="J326" s="94" t="s">
        <v>128</v>
      </c>
      <c r="K326" s="94"/>
      <c r="L326" s="94"/>
      <c r="M326" s="94"/>
      <c r="N326" s="27"/>
      <c r="O326" s="27"/>
      <c r="P326" s="27"/>
      <c r="Q326" s="27"/>
      <c r="R326" s="27"/>
    </row>
    <row r="327" spans="1:18" ht="16.350000000000001" customHeight="1" x14ac:dyDescent="0.2">
      <c r="A327" s="97" t="s">
        <v>398</v>
      </c>
      <c r="B327" s="98"/>
      <c r="C327" s="99"/>
      <c r="D327" s="41" t="s">
        <v>1</v>
      </c>
      <c r="E327" s="41" t="s">
        <v>184</v>
      </c>
      <c r="F327" s="59">
        <v>4400</v>
      </c>
      <c r="G327" s="59">
        <v>999999</v>
      </c>
      <c r="H327" s="60">
        <f>((H317+H339)/2)</f>
        <v>205.7231529</v>
      </c>
      <c r="I327" s="61">
        <v>0</v>
      </c>
      <c r="J327" s="94" t="s">
        <v>128</v>
      </c>
      <c r="K327" s="94"/>
      <c r="L327" s="94"/>
      <c r="M327" s="94"/>
      <c r="N327" s="27"/>
      <c r="O327" s="27"/>
      <c r="P327" s="27"/>
      <c r="Q327" s="27"/>
      <c r="R327" s="27"/>
    </row>
    <row r="328" spans="1:18" ht="16.350000000000001" customHeight="1" x14ac:dyDescent="0.2">
      <c r="A328" s="87"/>
      <c r="B328" s="87"/>
      <c r="C328" s="87"/>
      <c r="D328" s="82"/>
      <c r="E328" s="82"/>
      <c r="F328" s="83"/>
      <c r="G328" s="83"/>
      <c r="H328" s="84"/>
      <c r="I328" s="85"/>
      <c r="J328" s="86"/>
      <c r="K328" s="86"/>
      <c r="L328" s="86"/>
      <c r="M328" s="86"/>
      <c r="N328" s="27"/>
      <c r="O328" s="27"/>
      <c r="P328" s="27"/>
      <c r="Q328" s="27"/>
      <c r="R328" s="27"/>
    </row>
    <row r="329" spans="1:18" ht="16.350000000000001" customHeight="1" x14ac:dyDescent="0.2">
      <c r="A329" s="88"/>
      <c r="B329" s="88"/>
      <c r="C329" s="88"/>
      <c r="D329" s="27"/>
      <c r="E329" s="27"/>
      <c r="F329" s="64"/>
      <c r="G329" s="64"/>
      <c r="H329" s="65"/>
      <c r="I329" s="26"/>
      <c r="J329" s="54"/>
      <c r="K329" s="54"/>
      <c r="L329" s="54"/>
      <c r="M329" s="54"/>
      <c r="N329" s="27"/>
      <c r="O329" s="27"/>
      <c r="P329" s="27"/>
      <c r="Q329" s="27"/>
      <c r="R329" s="27"/>
    </row>
    <row r="330" spans="1:18" ht="16.350000000000001" customHeight="1" x14ac:dyDescent="0.2">
      <c r="A330" s="88"/>
      <c r="B330" s="88"/>
      <c r="C330" s="88"/>
      <c r="D330" s="27"/>
      <c r="E330" s="27"/>
      <c r="F330" s="64"/>
      <c r="G330" s="64"/>
      <c r="H330" s="65"/>
      <c r="I330" s="26"/>
      <c r="J330" s="54"/>
      <c r="K330" s="54"/>
      <c r="L330" s="54"/>
      <c r="M330" s="54"/>
      <c r="N330" s="27"/>
      <c r="O330" s="27"/>
      <c r="P330" s="27"/>
      <c r="Q330" s="27"/>
      <c r="R330" s="27"/>
    </row>
    <row r="331" spans="1:18" ht="16.350000000000001" customHeight="1" x14ac:dyDescent="0.2">
      <c r="A331" s="55" t="s">
        <v>389</v>
      </c>
      <c r="B331" s="55" t="s">
        <v>390</v>
      </c>
      <c r="C331" s="55" t="s">
        <v>391</v>
      </c>
      <c r="D331" s="56" t="s">
        <v>2</v>
      </c>
      <c r="E331" s="55" t="s">
        <v>334</v>
      </c>
      <c r="F331" s="66" t="s">
        <v>333</v>
      </c>
      <c r="G331" s="66" t="s">
        <v>333</v>
      </c>
      <c r="H331" s="57" t="s">
        <v>335</v>
      </c>
      <c r="I331" s="58" t="s">
        <v>336</v>
      </c>
      <c r="J331" s="95" t="s">
        <v>0</v>
      </c>
      <c r="K331" s="95"/>
      <c r="L331" s="95"/>
      <c r="M331" s="95"/>
      <c r="N331" s="27"/>
      <c r="O331" s="27"/>
      <c r="P331" s="27"/>
      <c r="Q331" s="27"/>
      <c r="R331" s="27"/>
    </row>
    <row r="332" spans="1:18" ht="16.350000000000001" customHeight="1" x14ac:dyDescent="0.2">
      <c r="A332" s="77" t="s">
        <v>544</v>
      </c>
      <c r="B332" s="42" t="s">
        <v>550</v>
      </c>
      <c r="C332" s="42">
        <f>$O$333*1.066</f>
        <v>280.358</v>
      </c>
      <c r="D332" s="41" t="s">
        <v>1</v>
      </c>
      <c r="E332" s="41" t="s">
        <v>198</v>
      </c>
      <c r="F332" s="59">
        <v>0</v>
      </c>
      <c r="G332" s="59">
        <v>1999</v>
      </c>
      <c r="H332" s="60">
        <f>((C332+$C$22)*($B$6*$D$6))</f>
        <v>252.0138062</v>
      </c>
      <c r="I332" s="61">
        <v>0</v>
      </c>
      <c r="J332" s="94" t="s">
        <v>438</v>
      </c>
      <c r="K332" s="94"/>
      <c r="L332" s="94"/>
      <c r="M332" s="94"/>
      <c r="N332" s="27"/>
      <c r="O332" s="27" t="s">
        <v>492</v>
      </c>
      <c r="P332" s="27"/>
      <c r="Q332" s="27"/>
      <c r="R332" s="27"/>
    </row>
    <row r="333" spans="1:18" ht="16.350000000000001" customHeight="1" x14ac:dyDescent="0.2">
      <c r="A333" s="77" t="s">
        <v>544</v>
      </c>
      <c r="B333" s="42" t="s">
        <v>550</v>
      </c>
      <c r="C333" s="42">
        <f>$O$333*1.044</f>
        <v>274.572</v>
      </c>
      <c r="D333" s="41" t="s">
        <v>1</v>
      </c>
      <c r="E333" s="41" t="s">
        <v>198</v>
      </c>
      <c r="F333" s="59">
        <v>2000</v>
      </c>
      <c r="G333" s="59">
        <v>2399</v>
      </c>
      <c r="H333" s="60">
        <f t="shared" ref="H333:H341" si="25">((C333+$C$22)*($B$6*$D$6))</f>
        <v>246.81277080000001</v>
      </c>
      <c r="I333" s="61">
        <v>0</v>
      </c>
      <c r="J333" s="94" t="s">
        <v>438</v>
      </c>
      <c r="K333" s="94"/>
      <c r="L333" s="94"/>
      <c r="M333" s="94"/>
      <c r="N333" s="27"/>
      <c r="O333" s="27">
        <v>263</v>
      </c>
      <c r="P333" s="27"/>
      <c r="Q333" s="27"/>
      <c r="R333" s="27"/>
    </row>
    <row r="334" spans="1:18" ht="16.350000000000001" customHeight="1" x14ac:dyDescent="0.2">
      <c r="A334" s="77" t="s">
        <v>544</v>
      </c>
      <c r="B334" s="42" t="s">
        <v>550</v>
      </c>
      <c r="C334" s="42">
        <f>$O$333*1.027</f>
        <v>270.101</v>
      </c>
      <c r="D334" s="41" t="s">
        <v>1</v>
      </c>
      <c r="E334" s="41" t="s">
        <v>198</v>
      </c>
      <c r="F334" s="59">
        <v>2400</v>
      </c>
      <c r="G334" s="59">
        <v>2799</v>
      </c>
      <c r="H334" s="60">
        <f t="shared" si="25"/>
        <v>242.79378890000001</v>
      </c>
      <c r="I334" s="61">
        <v>0</v>
      </c>
      <c r="J334" s="94" t="s">
        <v>438</v>
      </c>
      <c r="K334" s="94"/>
      <c r="L334" s="94"/>
      <c r="M334" s="94"/>
      <c r="N334" s="27"/>
      <c r="O334" s="27" t="s">
        <v>497</v>
      </c>
      <c r="P334" s="27"/>
      <c r="Q334" s="27"/>
      <c r="R334" s="27"/>
    </row>
    <row r="335" spans="1:18" ht="16.350000000000001" customHeight="1" x14ac:dyDescent="0.2">
      <c r="A335" s="77" t="s">
        <v>544</v>
      </c>
      <c r="B335" s="42" t="s">
        <v>550</v>
      </c>
      <c r="C335" s="42">
        <f>$O$333*1.013</f>
        <v>266.41899999999998</v>
      </c>
      <c r="D335" s="41" t="s">
        <v>1</v>
      </c>
      <c r="E335" s="41" t="s">
        <v>198</v>
      </c>
      <c r="F335" s="59">
        <v>2800</v>
      </c>
      <c r="G335" s="59">
        <v>3199</v>
      </c>
      <c r="H335" s="60">
        <f t="shared" si="25"/>
        <v>239.48403909999999</v>
      </c>
      <c r="I335" s="61">
        <v>0</v>
      </c>
      <c r="J335" s="94" t="s">
        <v>438</v>
      </c>
      <c r="K335" s="94"/>
      <c r="L335" s="94"/>
      <c r="M335" s="94"/>
      <c r="N335" s="27"/>
      <c r="O335" s="27"/>
      <c r="P335" s="27"/>
      <c r="Q335" s="27"/>
      <c r="R335" s="27"/>
    </row>
    <row r="336" spans="1:18" ht="16.350000000000001" customHeight="1" x14ac:dyDescent="0.2">
      <c r="A336" s="77" t="s">
        <v>544</v>
      </c>
      <c r="B336" s="42" t="s">
        <v>550</v>
      </c>
      <c r="C336" s="42">
        <f>$O$333*1</f>
        <v>263</v>
      </c>
      <c r="D336" s="41" t="s">
        <v>1</v>
      </c>
      <c r="E336" s="41" t="s">
        <v>198</v>
      </c>
      <c r="F336" s="59">
        <v>3200</v>
      </c>
      <c r="G336" s="59">
        <v>3599</v>
      </c>
      <c r="H336" s="60">
        <f t="shared" si="25"/>
        <v>236.41070000000002</v>
      </c>
      <c r="I336" s="61">
        <v>0</v>
      </c>
      <c r="J336" s="94" t="s">
        <v>438</v>
      </c>
      <c r="K336" s="94"/>
      <c r="L336" s="94"/>
      <c r="M336" s="94"/>
      <c r="N336" s="27"/>
      <c r="O336" s="27"/>
      <c r="P336" s="27"/>
      <c r="Q336" s="27"/>
      <c r="R336" s="27"/>
    </row>
    <row r="337" spans="1:18" ht="16.350000000000001" customHeight="1" x14ac:dyDescent="0.2">
      <c r="A337" s="77" t="s">
        <v>544</v>
      </c>
      <c r="B337" s="42" t="s">
        <v>550</v>
      </c>
      <c r="C337" s="42">
        <f>$O$333*0.99</f>
        <v>260.37</v>
      </c>
      <c r="D337" s="41" t="s">
        <v>1</v>
      </c>
      <c r="E337" s="41" t="s">
        <v>198</v>
      </c>
      <c r="F337" s="59">
        <v>3600</v>
      </c>
      <c r="G337" s="59">
        <v>3999</v>
      </c>
      <c r="H337" s="60">
        <f t="shared" si="25"/>
        <v>234.046593</v>
      </c>
      <c r="I337" s="61">
        <v>0</v>
      </c>
      <c r="J337" s="94" t="s">
        <v>438</v>
      </c>
      <c r="K337" s="94"/>
      <c r="L337" s="94"/>
      <c r="M337" s="94"/>
      <c r="N337" s="27"/>
      <c r="O337" s="27"/>
      <c r="P337" s="27"/>
      <c r="Q337" s="27"/>
      <c r="R337" s="27"/>
    </row>
    <row r="338" spans="1:18" ht="16.350000000000001" customHeight="1" x14ac:dyDescent="0.2">
      <c r="A338" s="77" t="s">
        <v>544</v>
      </c>
      <c r="B338" s="42" t="s">
        <v>550</v>
      </c>
      <c r="C338" s="42">
        <f>$O$333*0.98</f>
        <v>257.74</v>
      </c>
      <c r="D338" s="41" t="s">
        <v>1</v>
      </c>
      <c r="E338" s="41" t="s">
        <v>198</v>
      </c>
      <c r="F338" s="59">
        <v>4000</v>
      </c>
      <c r="G338" s="59">
        <v>4399</v>
      </c>
      <c r="H338" s="60">
        <f t="shared" si="25"/>
        <v>231.68248600000001</v>
      </c>
      <c r="I338" s="61">
        <v>0</v>
      </c>
      <c r="J338" s="94" t="s">
        <v>438</v>
      </c>
      <c r="K338" s="94"/>
      <c r="L338" s="94"/>
      <c r="M338" s="94"/>
      <c r="N338" s="27"/>
      <c r="O338" s="27"/>
      <c r="P338" s="27"/>
      <c r="Q338" s="27"/>
      <c r="R338" s="27"/>
    </row>
    <row r="339" spans="1:18" ht="16.350000000000001" customHeight="1" x14ac:dyDescent="0.2">
      <c r="A339" s="77" t="s">
        <v>544</v>
      </c>
      <c r="B339" s="42" t="s">
        <v>550</v>
      </c>
      <c r="C339" s="42">
        <f>$O$333*0.972</f>
        <v>255.636</v>
      </c>
      <c r="D339" s="41" t="s">
        <v>1</v>
      </c>
      <c r="E339" s="41" t="s">
        <v>198</v>
      </c>
      <c r="F339" s="59">
        <v>4400</v>
      </c>
      <c r="G339" s="59">
        <v>5199</v>
      </c>
      <c r="H339" s="60">
        <f t="shared" si="25"/>
        <v>229.79120040000001</v>
      </c>
      <c r="I339" s="61">
        <v>0</v>
      </c>
      <c r="J339" s="94" t="s">
        <v>438</v>
      </c>
      <c r="K339" s="94"/>
      <c r="L339" s="94"/>
      <c r="M339" s="94"/>
      <c r="N339" s="27"/>
      <c r="O339" s="27"/>
      <c r="P339" s="27"/>
      <c r="Q339" s="27"/>
      <c r="R339" s="27"/>
    </row>
    <row r="340" spans="1:18" ht="16.350000000000001" customHeight="1" x14ac:dyDescent="0.2">
      <c r="A340" s="77" t="s">
        <v>544</v>
      </c>
      <c r="B340" s="42" t="s">
        <v>550</v>
      </c>
      <c r="C340" s="42">
        <f>$O$333*0.957</f>
        <v>251.691</v>
      </c>
      <c r="D340" s="41" t="s">
        <v>1</v>
      </c>
      <c r="E340" s="41" t="s">
        <v>198</v>
      </c>
      <c r="F340" s="59">
        <v>5200</v>
      </c>
      <c r="G340" s="59">
        <v>5999</v>
      </c>
      <c r="H340" s="60">
        <f t="shared" si="25"/>
        <v>226.24503990000002</v>
      </c>
      <c r="I340" s="61">
        <v>0</v>
      </c>
      <c r="J340" s="94" t="s">
        <v>438</v>
      </c>
      <c r="K340" s="94"/>
      <c r="L340" s="94"/>
      <c r="M340" s="94"/>
      <c r="N340" s="27"/>
      <c r="O340" s="27"/>
      <c r="P340" s="27"/>
      <c r="Q340" s="27"/>
      <c r="R340" s="27"/>
    </row>
    <row r="341" spans="1:18" ht="16.350000000000001" customHeight="1" x14ac:dyDescent="0.2">
      <c r="A341" s="77" t="s">
        <v>544</v>
      </c>
      <c r="B341" s="42" t="s">
        <v>550</v>
      </c>
      <c r="C341" s="42">
        <f>$O$333*0.945</f>
        <v>248.535</v>
      </c>
      <c r="D341" s="41" t="s">
        <v>1</v>
      </c>
      <c r="E341" s="41" t="s">
        <v>198</v>
      </c>
      <c r="F341" s="59">
        <v>6000</v>
      </c>
      <c r="G341" s="59">
        <v>999999</v>
      </c>
      <c r="H341" s="60">
        <f t="shared" si="25"/>
        <v>223.40811150000002</v>
      </c>
      <c r="I341" s="61">
        <v>0</v>
      </c>
      <c r="J341" s="94" t="s">
        <v>438</v>
      </c>
      <c r="K341" s="94"/>
      <c r="L341" s="94"/>
      <c r="M341" s="94"/>
      <c r="N341" s="27"/>
      <c r="O341" s="27"/>
      <c r="P341" s="27"/>
      <c r="Q341" s="27"/>
      <c r="R341" s="27"/>
    </row>
    <row r="342" spans="1:18" ht="16.350000000000001" customHeight="1" x14ac:dyDescent="0.2">
      <c r="A342" s="42"/>
      <c r="B342" s="42"/>
      <c r="C342" s="42"/>
      <c r="D342" s="41" t="s">
        <v>1</v>
      </c>
      <c r="E342" s="41" t="s">
        <v>38</v>
      </c>
      <c r="F342" s="59">
        <v>0</v>
      </c>
      <c r="G342" s="59">
        <v>999999</v>
      </c>
      <c r="H342" s="60">
        <v>0</v>
      </c>
      <c r="I342" s="61">
        <v>0.2</v>
      </c>
      <c r="J342" s="94" t="s">
        <v>39</v>
      </c>
      <c r="K342" s="94"/>
      <c r="L342" s="94"/>
      <c r="M342" s="94"/>
      <c r="N342" s="27"/>
      <c r="O342" s="27" t="s">
        <v>500</v>
      </c>
      <c r="P342" s="27"/>
      <c r="Q342" s="27"/>
      <c r="R342" s="27"/>
    </row>
    <row r="343" spans="1:18" ht="16.350000000000001" customHeight="1" x14ac:dyDescent="0.2">
      <c r="A343" s="77" t="s">
        <v>544</v>
      </c>
      <c r="B343" s="42" t="s">
        <v>551</v>
      </c>
      <c r="C343" s="42">
        <f>+(40900+30900)/2/300</f>
        <v>119.66666666666667</v>
      </c>
      <c r="D343" s="41" t="s">
        <v>1</v>
      </c>
      <c r="E343" s="41" t="s">
        <v>239</v>
      </c>
      <c r="F343" s="59">
        <v>0</v>
      </c>
      <c r="G343" s="59">
        <v>999999</v>
      </c>
      <c r="H343" s="60">
        <f>(C343*($B$5*$I$5))</f>
        <v>107.56836666666668</v>
      </c>
      <c r="I343" s="61">
        <v>0</v>
      </c>
      <c r="J343" s="94" t="s">
        <v>514</v>
      </c>
      <c r="K343" s="94"/>
      <c r="L343" s="94"/>
      <c r="M343" s="94"/>
      <c r="N343" s="27"/>
      <c r="O343" s="27" t="s">
        <v>513</v>
      </c>
      <c r="P343" s="27"/>
      <c r="Q343" s="27"/>
      <c r="R343" s="27"/>
    </row>
    <row r="344" spans="1:18" ht="16.350000000000001" customHeight="1" x14ac:dyDescent="0.2">
      <c r="A344" s="77" t="s">
        <v>544</v>
      </c>
      <c r="B344" s="42" t="s">
        <v>552</v>
      </c>
      <c r="C344" s="42">
        <f>9050/100</f>
        <v>90.5</v>
      </c>
      <c r="D344" s="41" t="s">
        <v>1</v>
      </c>
      <c r="E344" s="41" t="s">
        <v>242</v>
      </c>
      <c r="F344" s="59">
        <v>0</v>
      </c>
      <c r="G344" s="59">
        <v>999999</v>
      </c>
      <c r="H344" s="60">
        <f>IF(C344="","",C344*($B$5*$I$5))</f>
        <v>81.350450000000009</v>
      </c>
      <c r="I344" s="61">
        <v>0</v>
      </c>
      <c r="J344" s="94" t="s">
        <v>516</v>
      </c>
      <c r="K344" s="94"/>
      <c r="L344" s="94"/>
      <c r="M344" s="94"/>
      <c r="N344" s="27"/>
      <c r="O344" s="27" t="s">
        <v>515</v>
      </c>
      <c r="P344" s="27"/>
      <c r="Q344" s="27"/>
      <c r="R344" s="27"/>
    </row>
    <row r="345" spans="1:18" ht="16.350000000000001" customHeight="1" x14ac:dyDescent="0.2">
      <c r="A345" s="77" t="s">
        <v>544</v>
      </c>
      <c r="B345" s="42" t="s">
        <v>552</v>
      </c>
      <c r="C345" s="42">
        <f>(9050+1330)/100</f>
        <v>103.8</v>
      </c>
      <c r="D345" s="41" t="s">
        <v>1</v>
      </c>
      <c r="E345" s="41" t="s">
        <v>243</v>
      </c>
      <c r="F345" s="59">
        <v>0</v>
      </c>
      <c r="G345" s="59">
        <v>999999</v>
      </c>
      <c r="H345" s="60">
        <f>IF(C345="","",C345*($B$5*$I$5))</f>
        <v>93.305819999999997</v>
      </c>
      <c r="I345" s="61">
        <v>0</v>
      </c>
      <c r="J345" s="94" t="s">
        <v>517</v>
      </c>
      <c r="K345" s="94"/>
      <c r="L345" s="94"/>
      <c r="M345" s="94"/>
      <c r="N345" s="27"/>
      <c r="O345" s="27" t="s">
        <v>515</v>
      </c>
      <c r="P345" s="27"/>
      <c r="Q345" s="27"/>
      <c r="R345" s="27"/>
    </row>
    <row r="346" spans="1:18" ht="16.350000000000001" customHeight="1" x14ac:dyDescent="0.2">
      <c r="A346" s="77" t="s">
        <v>544</v>
      </c>
      <c r="B346" s="42" t="s">
        <v>552</v>
      </c>
      <c r="C346" s="43">
        <f>37600/300</f>
        <v>125.33333333333333</v>
      </c>
      <c r="D346" s="41" t="s">
        <v>1</v>
      </c>
      <c r="E346" s="41" t="s">
        <v>244</v>
      </c>
      <c r="F346" s="59">
        <v>0</v>
      </c>
      <c r="G346" s="59">
        <v>999999</v>
      </c>
      <c r="H346" s="60">
        <f>IF(C346="","",C346*($B$5*$I$5))</f>
        <v>112.66213333333333</v>
      </c>
      <c r="I346" s="61">
        <v>0</v>
      </c>
      <c r="J346" s="94" t="s">
        <v>519</v>
      </c>
      <c r="K346" s="94"/>
      <c r="L346" s="94"/>
      <c r="M346" s="94"/>
      <c r="N346" s="27"/>
      <c r="O346" s="27" t="s">
        <v>518</v>
      </c>
      <c r="P346" s="27"/>
      <c r="Q346" s="27"/>
      <c r="R346" s="27"/>
    </row>
    <row r="347" spans="1:18" ht="16.350000000000001" customHeight="1" x14ac:dyDescent="0.2">
      <c r="A347" s="77" t="s">
        <v>544</v>
      </c>
      <c r="B347" s="42" t="s">
        <v>552</v>
      </c>
      <c r="C347" s="42">
        <f>50000/300</f>
        <v>166.66666666666666</v>
      </c>
      <c r="D347" s="41" t="s">
        <v>1</v>
      </c>
      <c r="E347" s="41" t="s">
        <v>245</v>
      </c>
      <c r="F347" s="59">
        <v>0</v>
      </c>
      <c r="G347" s="59">
        <v>999999</v>
      </c>
      <c r="H347" s="60">
        <f>IF(C347="","",C347*($B$5*$I$5))</f>
        <v>149.81666666666666</v>
      </c>
      <c r="I347" s="61">
        <v>0</v>
      </c>
      <c r="J347" s="101" t="s">
        <v>520</v>
      </c>
      <c r="K347" s="102"/>
      <c r="L347" s="102"/>
      <c r="M347" s="103"/>
      <c r="N347" s="27"/>
      <c r="O347" s="27" t="s">
        <v>518</v>
      </c>
      <c r="P347" s="27"/>
      <c r="Q347" s="27"/>
      <c r="R347" s="27"/>
    </row>
    <row r="348" spans="1:18" ht="16.350000000000001" customHeight="1" x14ac:dyDescent="0.2">
      <c r="A348" s="42"/>
      <c r="B348" s="42"/>
      <c r="C348" s="42"/>
      <c r="D348" s="41" t="s">
        <v>1</v>
      </c>
      <c r="E348" s="41" t="s">
        <v>74</v>
      </c>
      <c r="F348" s="59">
        <v>0</v>
      </c>
      <c r="G348" s="59">
        <v>999999</v>
      </c>
      <c r="H348" s="60">
        <v>0</v>
      </c>
      <c r="I348" s="61">
        <v>0.2</v>
      </c>
      <c r="J348" s="94" t="s">
        <v>247</v>
      </c>
      <c r="K348" s="94"/>
      <c r="L348" s="94"/>
      <c r="M348" s="94"/>
      <c r="N348" s="27"/>
      <c r="O348" s="27" t="s">
        <v>500</v>
      </c>
      <c r="P348" s="27"/>
      <c r="Q348" s="27"/>
      <c r="R348" s="27"/>
    </row>
    <row r="349" spans="1:18" ht="16.350000000000001" customHeight="1" x14ac:dyDescent="0.2">
      <c r="A349" s="42"/>
      <c r="B349" s="42"/>
      <c r="C349" s="42"/>
      <c r="D349" s="41" t="s">
        <v>1</v>
      </c>
      <c r="E349" s="41" t="s">
        <v>199</v>
      </c>
      <c r="F349" s="59">
        <v>0</v>
      </c>
      <c r="G349" s="59">
        <v>999999</v>
      </c>
      <c r="H349" s="60">
        <v>0</v>
      </c>
      <c r="I349" s="61">
        <v>0.1</v>
      </c>
      <c r="J349" s="94" t="s">
        <v>248</v>
      </c>
      <c r="K349" s="94"/>
      <c r="L349" s="94"/>
      <c r="M349" s="94"/>
      <c r="N349" s="27"/>
      <c r="O349" s="27"/>
      <c r="P349" s="27"/>
      <c r="Q349" s="27"/>
      <c r="R349" s="27"/>
    </row>
    <row r="350" spans="1:18" ht="16.350000000000001" customHeight="1" x14ac:dyDescent="0.2">
      <c r="A350" s="42"/>
      <c r="B350" s="42"/>
      <c r="C350" s="42"/>
      <c r="D350" s="41" t="s">
        <v>1</v>
      </c>
      <c r="E350" s="41" t="s">
        <v>200</v>
      </c>
      <c r="F350" s="59">
        <v>0</v>
      </c>
      <c r="G350" s="59">
        <v>999999</v>
      </c>
      <c r="H350" s="60">
        <v>0</v>
      </c>
      <c r="I350" s="61">
        <v>0.15</v>
      </c>
      <c r="J350" s="94" t="s">
        <v>249</v>
      </c>
      <c r="K350" s="94"/>
      <c r="L350" s="94"/>
      <c r="M350" s="94"/>
      <c r="N350" s="27"/>
      <c r="O350" s="27"/>
      <c r="P350" s="27"/>
      <c r="Q350" s="27"/>
      <c r="R350" s="27"/>
    </row>
    <row r="351" spans="1:18" ht="16.350000000000001" customHeight="1" x14ac:dyDescent="0.2">
      <c r="A351" s="42"/>
      <c r="B351" s="42"/>
      <c r="C351" s="42"/>
      <c r="D351" s="41" t="s">
        <v>1</v>
      </c>
      <c r="E351" s="41" t="s">
        <v>246</v>
      </c>
      <c r="F351" s="59">
        <v>0</v>
      </c>
      <c r="G351" s="59">
        <v>999999</v>
      </c>
      <c r="H351" s="60">
        <v>0</v>
      </c>
      <c r="I351" s="61">
        <v>0.25</v>
      </c>
      <c r="J351" s="94" t="s">
        <v>343</v>
      </c>
      <c r="K351" s="94"/>
      <c r="L351" s="94"/>
      <c r="M351" s="94"/>
      <c r="N351" s="27"/>
      <c r="O351" s="27"/>
      <c r="P351" s="27"/>
      <c r="Q351" s="27"/>
      <c r="R351" s="27"/>
    </row>
    <row r="352" spans="1:18" ht="16.350000000000001" customHeight="1" x14ac:dyDescent="0.2">
      <c r="A352" s="42"/>
      <c r="B352" s="42"/>
      <c r="C352" s="42"/>
      <c r="D352" s="41" t="s">
        <v>1</v>
      </c>
      <c r="E352" s="41" t="s">
        <v>11</v>
      </c>
      <c r="F352" s="59">
        <v>0</v>
      </c>
      <c r="G352" s="59">
        <v>999999</v>
      </c>
      <c r="H352" s="60">
        <v>0</v>
      </c>
      <c r="I352" s="61">
        <v>0.25</v>
      </c>
      <c r="J352" s="94" t="s">
        <v>127</v>
      </c>
      <c r="K352" s="94"/>
      <c r="L352" s="94"/>
      <c r="M352" s="94"/>
      <c r="N352" s="27"/>
      <c r="O352" s="27" t="s">
        <v>499</v>
      </c>
      <c r="P352" s="27"/>
      <c r="Q352" s="27"/>
      <c r="R352" s="27"/>
    </row>
    <row r="353" spans="1:18" ht="16.350000000000001" customHeight="1" x14ac:dyDescent="0.2">
      <c r="A353" s="42"/>
      <c r="B353" s="42"/>
      <c r="C353" s="42"/>
      <c r="D353" s="41" t="s">
        <v>1</v>
      </c>
      <c r="E353" s="41" t="s">
        <v>9</v>
      </c>
      <c r="F353" s="59">
        <v>0</v>
      </c>
      <c r="G353" s="59">
        <v>999999</v>
      </c>
      <c r="H353" s="60">
        <v>0</v>
      </c>
      <c r="I353" s="61">
        <v>0.45</v>
      </c>
      <c r="J353" s="94" t="s">
        <v>18</v>
      </c>
      <c r="K353" s="94"/>
      <c r="L353" s="94"/>
      <c r="M353" s="94"/>
      <c r="N353" s="27"/>
      <c r="O353" s="27" t="s">
        <v>501</v>
      </c>
      <c r="P353" s="27"/>
      <c r="Q353" s="27"/>
      <c r="R353" s="27"/>
    </row>
    <row r="354" spans="1:18" ht="16.350000000000001" customHeight="1" x14ac:dyDescent="0.2">
      <c r="A354" s="42"/>
      <c r="B354" s="42"/>
      <c r="C354" s="42"/>
      <c r="D354" s="41" t="s">
        <v>1</v>
      </c>
      <c r="E354" s="41" t="s">
        <v>10</v>
      </c>
      <c r="F354" s="59">
        <v>0</v>
      </c>
      <c r="G354" s="59">
        <v>999999</v>
      </c>
      <c r="H354" s="60">
        <v>0</v>
      </c>
      <c r="I354" s="61">
        <v>0.4</v>
      </c>
      <c r="J354" s="94" t="s">
        <v>19</v>
      </c>
      <c r="K354" s="94"/>
      <c r="L354" s="94"/>
      <c r="M354" s="94"/>
      <c r="N354" s="27"/>
      <c r="O354" s="27"/>
      <c r="P354" s="27"/>
      <c r="Q354" s="27"/>
      <c r="R354" s="27"/>
    </row>
    <row r="355" spans="1:18" ht="16.350000000000001" customHeight="1" x14ac:dyDescent="0.2">
      <c r="A355" s="42"/>
      <c r="B355" s="42"/>
      <c r="C355" s="42"/>
      <c r="D355" s="41" t="s">
        <v>1</v>
      </c>
      <c r="E355" s="41" t="s">
        <v>7</v>
      </c>
      <c r="F355" s="59">
        <v>0</v>
      </c>
      <c r="G355" s="59">
        <v>999999</v>
      </c>
      <c r="H355" s="60">
        <v>0</v>
      </c>
      <c r="I355" s="61">
        <v>0.35</v>
      </c>
      <c r="J355" s="94" t="s">
        <v>16</v>
      </c>
      <c r="K355" s="94"/>
      <c r="L355" s="94"/>
      <c r="M355" s="94"/>
      <c r="N355" s="27"/>
      <c r="O355" s="27"/>
      <c r="P355" s="27"/>
      <c r="Q355" s="27"/>
      <c r="R355" s="27"/>
    </row>
    <row r="356" spans="1:18" ht="16.350000000000001" customHeight="1" x14ac:dyDescent="0.2">
      <c r="A356" s="42"/>
      <c r="B356" s="42"/>
      <c r="C356" s="42"/>
      <c r="D356" s="41" t="s">
        <v>1</v>
      </c>
      <c r="E356" s="41" t="s">
        <v>8</v>
      </c>
      <c r="F356" s="59">
        <v>0</v>
      </c>
      <c r="G356" s="59">
        <v>999999</v>
      </c>
      <c r="H356" s="60">
        <v>0</v>
      </c>
      <c r="I356" s="61">
        <v>0.3</v>
      </c>
      <c r="J356" s="94" t="s">
        <v>17</v>
      </c>
      <c r="K356" s="94"/>
      <c r="L356" s="94"/>
      <c r="M356" s="94"/>
      <c r="N356" s="27"/>
      <c r="O356" s="27"/>
      <c r="P356" s="27"/>
      <c r="Q356" s="27"/>
      <c r="R356" s="27"/>
    </row>
    <row r="357" spans="1:18" ht="16.350000000000001" customHeight="1" x14ac:dyDescent="0.2">
      <c r="A357" s="42"/>
      <c r="B357" s="42"/>
      <c r="C357" s="42"/>
      <c r="D357" s="41" t="s">
        <v>1</v>
      </c>
      <c r="E357" s="41" t="s">
        <v>261</v>
      </c>
      <c r="F357" s="59">
        <v>0</v>
      </c>
      <c r="G357" s="59">
        <v>999999</v>
      </c>
      <c r="H357" s="60">
        <v>25</v>
      </c>
      <c r="I357" s="61">
        <v>0</v>
      </c>
      <c r="J357" s="94" t="s">
        <v>262</v>
      </c>
      <c r="K357" s="94"/>
      <c r="L357" s="94"/>
      <c r="M357" s="94"/>
      <c r="N357" s="27"/>
      <c r="O357" s="27"/>
      <c r="P357" s="27"/>
      <c r="Q357" s="27"/>
      <c r="R357" s="27"/>
    </row>
    <row r="358" spans="1:18" ht="16.350000000000001" customHeight="1" x14ac:dyDescent="0.2">
      <c r="A358" s="42" t="s">
        <v>553</v>
      </c>
      <c r="B358" s="42">
        <v>6</v>
      </c>
      <c r="C358" s="43">
        <v>39.5</v>
      </c>
      <c r="D358" s="41" t="s">
        <v>1</v>
      </c>
      <c r="E358" s="41" t="s">
        <v>82</v>
      </c>
      <c r="F358" s="59">
        <v>0</v>
      </c>
      <c r="G358" s="59">
        <v>999999</v>
      </c>
      <c r="H358" s="60">
        <f>IF(C358="","",C358*($B$5*$L$5))</f>
        <v>35.155000000000001</v>
      </c>
      <c r="I358" s="61">
        <v>0</v>
      </c>
      <c r="J358" s="94" t="s">
        <v>521</v>
      </c>
      <c r="K358" s="94"/>
      <c r="L358" s="94"/>
      <c r="M358" s="94"/>
      <c r="N358" s="27"/>
      <c r="O358" s="27" t="s">
        <v>522</v>
      </c>
      <c r="P358" s="27"/>
      <c r="Q358" s="27"/>
      <c r="R358" s="27"/>
    </row>
    <row r="359" spans="1:18" ht="16.350000000000001" customHeight="1" x14ac:dyDescent="0.2">
      <c r="A359" s="42" t="s">
        <v>553</v>
      </c>
      <c r="B359" s="42">
        <v>6</v>
      </c>
      <c r="C359" s="42">
        <f>(48.25+73)/2</f>
        <v>60.625</v>
      </c>
      <c r="D359" s="41" t="s">
        <v>1</v>
      </c>
      <c r="E359" s="41" t="s">
        <v>83</v>
      </c>
      <c r="F359" s="59">
        <v>0</v>
      </c>
      <c r="G359" s="59">
        <v>999999</v>
      </c>
      <c r="H359" s="60">
        <f>IF(C359="","",C359*($B$5*$L$5))</f>
        <v>53.956250000000004</v>
      </c>
      <c r="I359" s="61">
        <v>0</v>
      </c>
      <c r="J359" s="94" t="s">
        <v>523</v>
      </c>
      <c r="K359" s="94"/>
      <c r="L359" s="94"/>
      <c r="M359" s="94"/>
      <c r="N359" s="27"/>
      <c r="O359" s="27"/>
      <c r="P359" s="27"/>
      <c r="Q359" s="27"/>
      <c r="R359" s="27"/>
    </row>
    <row r="360" spans="1:18" ht="16.350000000000001" customHeight="1" x14ac:dyDescent="0.2">
      <c r="A360" s="42" t="s">
        <v>553</v>
      </c>
      <c r="B360" s="42">
        <v>6</v>
      </c>
      <c r="C360" s="42">
        <f>(66+93)/2</f>
        <v>79.5</v>
      </c>
      <c r="D360" s="41" t="s">
        <v>1</v>
      </c>
      <c r="E360" s="41" t="s">
        <v>84</v>
      </c>
      <c r="F360" s="59">
        <v>0</v>
      </c>
      <c r="G360" s="59">
        <v>999999</v>
      </c>
      <c r="H360" s="60">
        <f>IF(C360="","",C360*($B$5*$L$5))</f>
        <v>70.754999999999995</v>
      </c>
      <c r="I360" s="61">
        <v>0</v>
      </c>
      <c r="J360" s="94" t="s">
        <v>524</v>
      </c>
      <c r="K360" s="94"/>
      <c r="L360" s="94"/>
      <c r="M360" s="94"/>
      <c r="N360" s="27"/>
      <c r="O360" s="27"/>
      <c r="P360" s="27"/>
      <c r="Q360" s="27"/>
      <c r="R360" s="27"/>
    </row>
    <row r="361" spans="1:18" ht="16.350000000000001" customHeight="1" x14ac:dyDescent="0.2">
      <c r="A361" s="42" t="s">
        <v>553</v>
      </c>
      <c r="B361" s="42">
        <v>6</v>
      </c>
      <c r="C361" s="43">
        <f>(74.5+111)/2</f>
        <v>92.75</v>
      </c>
      <c r="D361" s="41" t="s">
        <v>1</v>
      </c>
      <c r="E361" s="41" t="s">
        <v>85</v>
      </c>
      <c r="F361" s="59">
        <v>0</v>
      </c>
      <c r="G361" s="59">
        <v>999999</v>
      </c>
      <c r="H361" s="60">
        <f>IF(C361="","",C361*($B$5*$L$5))</f>
        <v>82.547499999999999</v>
      </c>
      <c r="I361" s="61">
        <v>0</v>
      </c>
      <c r="J361" s="94" t="s">
        <v>525</v>
      </c>
      <c r="K361" s="94"/>
      <c r="L361" s="94"/>
      <c r="M361" s="94"/>
      <c r="N361" s="27"/>
      <c r="O361" s="27"/>
      <c r="P361" s="27"/>
      <c r="Q361" s="27"/>
      <c r="R361" s="27"/>
    </row>
    <row r="362" spans="1:18" ht="16.350000000000001" customHeight="1" x14ac:dyDescent="0.2">
      <c r="A362" s="42"/>
      <c r="B362" s="42"/>
      <c r="C362" s="42"/>
      <c r="D362" s="41" t="s">
        <v>1</v>
      </c>
      <c r="E362" s="41" t="s">
        <v>75</v>
      </c>
      <c r="F362" s="59">
        <v>0</v>
      </c>
      <c r="G362" s="59">
        <v>999999</v>
      </c>
      <c r="H362" s="60">
        <v>0</v>
      </c>
      <c r="I362" s="61">
        <v>0.3</v>
      </c>
      <c r="J362" s="94" t="s">
        <v>126</v>
      </c>
      <c r="K362" s="94"/>
      <c r="L362" s="94"/>
      <c r="M362" s="94"/>
      <c r="N362" s="27"/>
      <c r="O362" s="27" t="s">
        <v>500</v>
      </c>
      <c r="P362" s="27"/>
      <c r="Q362" s="27"/>
      <c r="R362" s="27"/>
    </row>
    <row r="363" spans="1:18" ht="16.350000000000001" customHeight="1" x14ac:dyDescent="0.2">
      <c r="A363" s="81"/>
      <c r="B363" s="81"/>
      <c r="C363" s="81"/>
      <c r="D363" s="82"/>
      <c r="E363" s="82"/>
      <c r="F363" s="83"/>
      <c r="G363" s="83"/>
      <c r="H363" s="84"/>
      <c r="I363" s="85"/>
      <c r="J363" s="86"/>
      <c r="K363" s="86"/>
      <c r="L363" s="86"/>
      <c r="M363" s="86"/>
      <c r="N363" s="27"/>
      <c r="O363" s="27"/>
      <c r="P363" s="27"/>
      <c r="Q363" s="27"/>
      <c r="R363" s="27"/>
    </row>
    <row r="364" spans="1:18" ht="16.350000000000001" customHeight="1" x14ac:dyDescent="0.2">
      <c r="D364" s="27"/>
      <c r="E364" s="27"/>
      <c r="F364" s="64"/>
      <c r="G364" s="64"/>
      <c r="H364" s="65"/>
      <c r="I364" s="26"/>
      <c r="J364" s="54"/>
      <c r="K364" s="54"/>
      <c r="L364" s="54"/>
      <c r="M364" s="54"/>
      <c r="N364" s="27"/>
      <c r="O364" s="27"/>
      <c r="P364" s="27"/>
      <c r="Q364" s="27"/>
      <c r="R364" s="27"/>
    </row>
    <row r="365" spans="1:18" ht="16.350000000000001" customHeight="1" x14ac:dyDescent="0.2">
      <c r="A365" s="55" t="s">
        <v>389</v>
      </c>
      <c r="B365" s="55" t="s">
        <v>390</v>
      </c>
      <c r="C365" s="55" t="s">
        <v>391</v>
      </c>
      <c r="D365" s="56" t="s">
        <v>2</v>
      </c>
      <c r="E365" s="55" t="s">
        <v>334</v>
      </c>
      <c r="F365" s="66" t="s">
        <v>333</v>
      </c>
      <c r="G365" s="66" t="s">
        <v>333</v>
      </c>
      <c r="H365" s="57" t="s">
        <v>335</v>
      </c>
      <c r="I365" s="58" t="s">
        <v>336</v>
      </c>
      <c r="J365" s="95" t="s">
        <v>0</v>
      </c>
      <c r="K365" s="95"/>
      <c r="L365" s="95"/>
      <c r="M365" s="95"/>
      <c r="N365" s="27"/>
      <c r="O365" s="27"/>
      <c r="P365" s="27"/>
      <c r="Q365" s="27"/>
      <c r="R365" s="27"/>
    </row>
    <row r="366" spans="1:18" ht="16.350000000000001" customHeight="1" x14ac:dyDescent="0.2">
      <c r="A366" s="77" t="s">
        <v>544</v>
      </c>
      <c r="B366" s="42" t="s">
        <v>545</v>
      </c>
      <c r="C366" s="42">
        <f>$O$367*1.104</f>
        <v>83.352000000000004</v>
      </c>
      <c r="D366" s="41" t="s">
        <v>1</v>
      </c>
      <c r="E366" s="41" t="s">
        <v>196</v>
      </c>
      <c r="F366" s="59">
        <v>0</v>
      </c>
      <c r="G366" s="59">
        <v>599</v>
      </c>
      <c r="H366" s="60">
        <f>((C366+$C$11+$B$29)*($B$5*$C$5))</f>
        <v>77.482545600000009</v>
      </c>
      <c r="I366" s="61">
        <v>0</v>
      </c>
      <c r="J366" s="94" t="s">
        <v>442</v>
      </c>
      <c r="K366" s="94"/>
      <c r="L366" s="94"/>
      <c r="M366" s="94"/>
      <c r="N366" s="27"/>
      <c r="O366" s="27" t="s">
        <v>498</v>
      </c>
      <c r="P366" s="27"/>
      <c r="Q366" s="27"/>
      <c r="R366" s="27"/>
    </row>
    <row r="367" spans="1:18" ht="16.350000000000001" customHeight="1" x14ac:dyDescent="0.2">
      <c r="A367" s="77" t="s">
        <v>544</v>
      </c>
      <c r="B367" s="42" t="s">
        <v>545</v>
      </c>
      <c r="C367" s="42">
        <f>$O$367*1.057</f>
        <v>79.8035</v>
      </c>
      <c r="D367" s="41" t="s">
        <v>1</v>
      </c>
      <c r="E367" s="41" t="s">
        <v>196</v>
      </c>
      <c r="F367" s="59">
        <v>600</v>
      </c>
      <c r="G367" s="59">
        <v>799</v>
      </c>
      <c r="H367" s="60">
        <f t="shared" ref="H367:H374" si="26">((C367+$C$11+$B$29)*($B$5*$C$5))</f>
        <v>74.261217299999998</v>
      </c>
      <c r="I367" s="61">
        <v>0</v>
      </c>
      <c r="J367" s="94" t="s">
        <v>442</v>
      </c>
      <c r="K367" s="94"/>
      <c r="L367" s="94"/>
      <c r="M367" s="94"/>
      <c r="N367" s="27"/>
      <c r="O367" s="27">
        <v>75.5</v>
      </c>
      <c r="P367" s="27"/>
      <c r="Q367" s="27"/>
      <c r="R367" s="27"/>
    </row>
    <row r="368" spans="1:18" ht="16.350000000000001" customHeight="1" x14ac:dyDescent="0.2">
      <c r="A368" s="77" t="s">
        <v>544</v>
      </c>
      <c r="B368" s="42" t="s">
        <v>545</v>
      </c>
      <c r="C368" s="42">
        <f>$O$367*1.025</f>
        <v>77.387499999999989</v>
      </c>
      <c r="D368" s="41" t="s">
        <v>1</v>
      </c>
      <c r="E368" s="41" t="s">
        <v>196</v>
      </c>
      <c r="F368" s="59">
        <v>800</v>
      </c>
      <c r="G368" s="59">
        <v>999</v>
      </c>
      <c r="H368" s="60">
        <f t="shared" si="26"/>
        <v>72.067972499999996</v>
      </c>
      <c r="I368" s="61">
        <v>0</v>
      </c>
      <c r="J368" s="94" t="s">
        <v>442</v>
      </c>
      <c r="K368" s="94"/>
      <c r="L368" s="94"/>
      <c r="M368" s="94"/>
      <c r="N368" s="27"/>
      <c r="O368" s="27" t="s">
        <v>494</v>
      </c>
      <c r="P368" s="27"/>
      <c r="Q368" s="27"/>
      <c r="R368" s="27"/>
    </row>
    <row r="369" spans="1:18" ht="16.350000000000001" customHeight="1" x14ac:dyDescent="0.2">
      <c r="A369" s="77" t="s">
        <v>544</v>
      </c>
      <c r="B369" s="42" t="s">
        <v>545</v>
      </c>
      <c r="C369" s="42">
        <f>$O$367*1</f>
        <v>75.5</v>
      </c>
      <c r="D369" s="41" t="s">
        <v>1</v>
      </c>
      <c r="E369" s="41" t="s">
        <v>196</v>
      </c>
      <c r="F369" s="59">
        <v>1000</v>
      </c>
      <c r="G369" s="59">
        <v>1199</v>
      </c>
      <c r="H369" s="60">
        <f t="shared" si="26"/>
        <v>70.354500000000002</v>
      </c>
      <c r="I369" s="61">
        <v>0</v>
      </c>
      <c r="J369" s="94" t="s">
        <v>442</v>
      </c>
      <c r="K369" s="94"/>
      <c r="L369" s="94"/>
      <c r="M369" s="94"/>
      <c r="N369" s="27"/>
      <c r="O369" s="27"/>
      <c r="P369" s="27"/>
      <c r="Q369" s="27"/>
      <c r="R369" s="27"/>
    </row>
    <row r="370" spans="1:18" ht="16.350000000000001" customHeight="1" x14ac:dyDescent="0.2">
      <c r="A370" s="77" t="s">
        <v>544</v>
      </c>
      <c r="B370" s="42" t="s">
        <v>545</v>
      </c>
      <c r="C370" s="42">
        <f>$O$367*0.981</f>
        <v>74.0655</v>
      </c>
      <c r="D370" s="41" t="s">
        <v>1</v>
      </c>
      <c r="E370" s="41" t="s">
        <v>196</v>
      </c>
      <c r="F370" s="59">
        <v>1200</v>
      </c>
      <c r="G370" s="59">
        <v>1399</v>
      </c>
      <c r="H370" s="60">
        <f t="shared" si="26"/>
        <v>69.052260900000007</v>
      </c>
      <c r="I370" s="61">
        <v>0</v>
      </c>
      <c r="J370" s="94" t="s">
        <v>442</v>
      </c>
      <c r="K370" s="94"/>
      <c r="L370" s="94"/>
      <c r="M370" s="94"/>
      <c r="N370" s="27"/>
      <c r="O370" s="27"/>
      <c r="P370" s="27"/>
      <c r="Q370" s="27"/>
      <c r="R370" s="27"/>
    </row>
    <row r="371" spans="1:18" ht="16.350000000000001" customHeight="1" x14ac:dyDescent="0.2">
      <c r="A371" s="77" t="s">
        <v>544</v>
      </c>
      <c r="B371" s="42" t="s">
        <v>545</v>
      </c>
      <c r="C371" s="42">
        <f>$O$367*0.964</f>
        <v>72.781999999999996</v>
      </c>
      <c r="D371" s="41" t="s">
        <v>1</v>
      </c>
      <c r="E371" s="41" t="s">
        <v>196</v>
      </c>
      <c r="F371" s="59">
        <v>1400</v>
      </c>
      <c r="G371" s="59">
        <v>1799</v>
      </c>
      <c r="H371" s="60">
        <f t="shared" si="26"/>
        <v>67.887099599999999</v>
      </c>
      <c r="I371" s="61">
        <v>0</v>
      </c>
      <c r="J371" s="94" t="s">
        <v>442</v>
      </c>
      <c r="K371" s="94"/>
      <c r="L371" s="94"/>
      <c r="M371" s="94"/>
      <c r="N371" s="27"/>
      <c r="O371" s="27"/>
      <c r="P371" s="27"/>
      <c r="Q371" s="27"/>
      <c r="R371" s="27"/>
    </row>
    <row r="372" spans="1:18" ht="16.350000000000001" customHeight="1" x14ac:dyDescent="0.2">
      <c r="A372" s="77" t="s">
        <v>544</v>
      </c>
      <c r="B372" s="42" t="s">
        <v>545</v>
      </c>
      <c r="C372" s="42">
        <f>$O$367*0.939</f>
        <v>70.894499999999994</v>
      </c>
      <c r="D372" s="41" t="s">
        <v>1</v>
      </c>
      <c r="E372" s="41" t="s">
        <v>196</v>
      </c>
      <c r="F372" s="59">
        <v>1800</v>
      </c>
      <c r="G372" s="59">
        <v>1999</v>
      </c>
      <c r="H372" s="60">
        <f t="shared" si="26"/>
        <v>66.173627100000004</v>
      </c>
      <c r="I372" s="61">
        <v>0</v>
      </c>
      <c r="J372" s="94" t="s">
        <v>442</v>
      </c>
      <c r="K372" s="94"/>
      <c r="L372" s="94"/>
      <c r="M372" s="94"/>
      <c r="N372" s="27"/>
      <c r="O372" s="27"/>
      <c r="P372" s="27"/>
      <c r="Q372" s="27"/>
      <c r="R372" s="27"/>
    </row>
    <row r="373" spans="1:18" ht="16.350000000000001" customHeight="1" x14ac:dyDescent="0.2">
      <c r="A373" s="77" t="s">
        <v>544</v>
      </c>
      <c r="B373" s="42" t="s">
        <v>545</v>
      </c>
      <c r="C373" s="42">
        <f>$O$367*0.928</f>
        <v>70.064000000000007</v>
      </c>
      <c r="D373" s="41" t="s">
        <v>1</v>
      </c>
      <c r="E373" s="41" t="s">
        <v>196</v>
      </c>
      <c r="F373" s="59">
        <v>2000</v>
      </c>
      <c r="G373" s="59">
        <v>2399</v>
      </c>
      <c r="H373" s="60">
        <f t="shared" si="26"/>
        <v>65.419699200000011</v>
      </c>
      <c r="I373" s="61">
        <v>0</v>
      </c>
      <c r="J373" s="94" t="s">
        <v>442</v>
      </c>
      <c r="K373" s="94"/>
      <c r="L373" s="94"/>
      <c r="M373" s="94"/>
      <c r="N373" s="27"/>
      <c r="O373" s="27"/>
      <c r="P373" s="27"/>
      <c r="Q373" s="27"/>
      <c r="R373" s="27"/>
    </row>
    <row r="374" spans="1:18" ht="16.350000000000001" customHeight="1" x14ac:dyDescent="0.2">
      <c r="A374" s="77" t="s">
        <v>544</v>
      </c>
      <c r="B374" s="42" t="s">
        <v>545</v>
      </c>
      <c r="C374" s="42">
        <f>$O$367*0.91</f>
        <v>68.704999999999998</v>
      </c>
      <c r="D374" s="41" t="s">
        <v>1</v>
      </c>
      <c r="E374" s="41" t="s">
        <v>196</v>
      </c>
      <c r="F374" s="59">
        <v>2400</v>
      </c>
      <c r="G374" s="59">
        <v>3199</v>
      </c>
      <c r="H374" s="60">
        <f t="shared" si="26"/>
        <v>64.185998999999995</v>
      </c>
      <c r="I374" s="61">
        <v>0</v>
      </c>
      <c r="J374" s="94" t="s">
        <v>442</v>
      </c>
      <c r="K374" s="94"/>
      <c r="L374" s="94"/>
      <c r="M374" s="94"/>
      <c r="N374" s="27"/>
      <c r="O374" s="27"/>
      <c r="P374" s="27"/>
      <c r="Q374" s="27"/>
      <c r="R374" s="27"/>
    </row>
    <row r="375" spans="1:18" ht="16.350000000000001" customHeight="1" x14ac:dyDescent="0.2">
      <c r="A375" s="77" t="s">
        <v>544</v>
      </c>
      <c r="B375" s="42" t="s">
        <v>545</v>
      </c>
      <c r="C375" s="42">
        <f>$O$367*0.882</f>
        <v>66.590999999999994</v>
      </c>
      <c r="D375" s="41" t="s">
        <v>1</v>
      </c>
      <c r="E375" s="41" t="s">
        <v>196</v>
      </c>
      <c r="F375" s="59">
        <v>3200</v>
      </c>
      <c r="G375" s="59">
        <v>999999</v>
      </c>
      <c r="H375" s="60">
        <f>((C375+$C$11+$B$29)*($B$5*$C$5))</f>
        <v>62.266909800000001</v>
      </c>
      <c r="I375" s="61">
        <v>0</v>
      </c>
      <c r="J375" s="94" t="s">
        <v>442</v>
      </c>
      <c r="K375" s="94"/>
      <c r="L375" s="94"/>
      <c r="M375" s="94"/>
      <c r="N375" s="27"/>
      <c r="O375" s="27"/>
      <c r="P375" s="27"/>
      <c r="Q375" s="27"/>
      <c r="R375" s="27"/>
    </row>
    <row r="376" spans="1:18" ht="16.350000000000001" customHeight="1" x14ac:dyDescent="0.2">
      <c r="A376" s="77" t="s">
        <v>544</v>
      </c>
      <c r="B376" s="42" t="s">
        <v>545</v>
      </c>
      <c r="C376" s="42">
        <f>$O$377*1.104</f>
        <v>98.808000000000007</v>
      </c>
      <c r="D376" s="41" t="s">
        <v>1</v>
      </c>
      <c r="E376" s="41" t="s">
        <v>185</v>
      </c>
      <c r="F376" s="59">
        <v>0</v>
      </c>
      <c r="G376" s="59">
        <v>599</v>
      </c>
      <c r="H376" s="60">
        <f>((C376+$C$12+$B$29)*($B$5*$C$5))</f>
        <v>91.513502400000007</v>
      </c>
      <c r="I376" s="61">
        <v>0</v>
      </c>
      <c r="J376" s="94" t="s">
        <v>443</v>
      </c>
      <c r="K376" s="94"/>
      <c r="L376" s="94"/>
      <c r="M376" s="94"/>
      <c r="N376" s="27"/>
      <c r="O376" s="27" t="s">
        <v>498</v>
      </c>
      <c r="P376" s="27"/>
      <c r="Q376" s="27"/>
      <c r="R376" s="27"/>
    </row>
    <row r="377" spans="1:18" ht="16.350000000000001" customHeight="1" x14ac:dyDescent="0.2">
      <c r="A377" s="77" t="s">
        <v>544</v>
      </c>
      <c r="B377" s="42" t="s">
        <v>545</v>
      </c>
      <c r="C377" s="42">
        <f>$O$377*1.057</f>
        <v>94.601500000000001</v>
      </c>
      <c r="D377" s="41" t="s">
        <v>1</v>
      </c>
      <c r="E377" s="41" t="s">
        <v>185</v>
      </c>
      <c r="F377" s="59">
        <v>600</v>
      </c>
      <c r="G377" s="59">
        <v>799</v>
      </c>
      <c r="H377" s="60">
        <f t="shared" ref="H377:H384" si="27">((C377+$C$12+$B$29)*($B$5*$C$5))</f>
        <v>87.694841700000012</v>
      </c>
      <c r="I377" s="61">
        <v>0</v>
      </c>
      <c r="J377" s="94" t="s">
        <v>443</v>
      </c>
      <c r="K377" s="94"/>
      <c r="L377" s="94"/>
      <c r="M377" s="94"/>
      <c r="N377" s="27"/>
      <c r="O377" s="27">
        <v>89.5</v>
      </c>
      <c r="P377" s="27"/>
      <c r="Q377" s="27"/>
      <c r="R377" s="27"/>
    </row>
    <row r="378" spans="1:18" ht="16.350000000000001" customHeight="1" x14ac:dyDescent="0.2">
      <c r="A378" s="77" t="s">
        <v>544</v>
      </c>
      <c r="B378" s="42" t="s">
        <v>545</v>
      </c>
      <c r="C378" s="42">
        <f>$O$377*1.025</f>
        <v>91.737499999999997</v>
      </c>
      <c r="D378" s="41" t="s">
        <v>1</v>
      </c>
      <c r="E378" s="41" t="s">
        <v>185</v>
      </c>
      <c r="F378" s="59">
        <v>800</v>
      </c>
      <c r="G378" s="59">
        <v>999</v>
      </c>
      <c r="H378" s="60">
        <f t="shared" si="27"/>
        <v>85.094902500000003</v>
      </c>
      <c r="I378" s="61">
        <v>0</v>
      </c>
      <c r="J378" s="94" t="s">
        <v>443</v>
      </c>
      <c r="K378" s="94"/>
      <c r="L378" s="94"/>
      <c r="M378" s="94"/>
      <c r="N378" s="27"/>
      <c r="O378" s="27" t="s">
        <v>494</v>
      </c>
      <c r="P378" s="27"/>
      <c r="Q378" s="27"/>
      <c r="R378" s="27"/>
    </row>
    <row r="379" spans="1:18" ht="16.350000000000001" customHeight="1" x14ac:dyDescent="0.2">
      <c r="A379" s="77" t="s">
        <v>544</v>
      </c>
      <c r="B379" s="42" t="s">
        <v>545</v>
      </c>
      <c r="C379" s="42">
        <f>$O$377*1</f>
        <v>89.5</v>
      </c>
      <c r="D379" s="41" t="s">
        <v>1</v>
      </c>
      <c r="E379" s="41" t="s">
        <v>185</v>
      </c>
      <c r="F379" s="59">
        <v>1000</v>
      </c>
      <c r="G379" s="59">
        <v>1199</v>
      </c>
      <c r="H379" s="60">
        <f t="shared" si="27"/>
        <v>83.063700000000011</v>
      </c>
      <c r="I379" s="61">
        <v>0</v>
      </c>
      <c r="J379" s="94" t="s">
        <v>443</v>
      </c>
      <c r="K379" s="94"/>
      <c r="L379" s="94"/>
      <c r="M379" s="94"/>
      <c r="N379" s="27"/>
      <c r="O379" s="27"/>
      <c r="P379" s="27"/>
      <c r="Q379" s="27"/>
      <c r="R379" s="27"/>
    </row>
    <row r="380" spans="1:18" ht="16.350000000000001" customHeight="1" x14ac:dyDescent="0.2">
      <c r="A380" s="77" t="s">
        <v>544</v>
      </c>
      <c r="B380" s="42" t="s">
        <v>545</v>
      </c>
      <c r="C380" s="42">
        <f>$O$377*0.981</f>
        <v>87.799499999999995</v>
      </c>
      <c r="D380" s="41" t="s">
        <v>1</v>
      </c>
      <c r="E380" s="41" t="s">
        <v>185</v>
      </c>
      <c r="F380" s="59">
        <v>1200</v>
      </c>
      <c r="G380" s="59">
        <v>1399</v>
      </c>
      <c r="H380" s="60">
        <f t="shared" si="27"/>
        <v>81.519986099999997</v>
      </c>
      <c r="I380" s="61">
        <v>0</v>
      </c>
      <c r="J380" s="94" t="s">
        <v>443</v>
      </c>
      <c r="K380" s="94"/>
      <c r="L380" s="94"/>
      <c r="M380" s="94"/>
      <c r="N380" s="27"/>
      <c r="O380" s="27"/>
      <c r="P380" s="27"/>
      <c r="Q380" s="27"/>
      <c r="R380" s="27"/>
    </row>
    <row r="381" spans="1:18" ht="16.350000000000001" customHeight="1" x14ac:dyDescent="0.2">
      <c r="A381" s="77" t="s">
        <v>544</v>
      </c>
      <c r="B381" s="42" t="s">
        <v>545</v>
      </c>
      <c r="C381" s="42">
        <f>$O$377*0.964</f>
        <v>86.277999999999992</v>
      </c>
      <c r="D381" s="41" t="s">
        <v>1</v>
      </c>
      <c r="E381" s="41" t="s">
        <v>185</v>
      </c>
      <c r="F381" s="59">
        <v>1400</v>
      </c>
      <c r="G381" s="59">
        <v>1799</v>
      </c>
      <c r="H381" s="60">
        <f t="shared" si="27"/>
        <v>80.138768400000004</v>
      </c>
      <c r="I381" s="61">
        <v>0</v>
      </c>
      <c r="J381" s="94" t="s">
        <v>443</v>
      </c>
      <c r="K381" s="94"/>
      <c r="L381" s="94"/>
      <c r="M381" s="94"/>
      <c r="N381" s="27"/>
      <c r="O381" s="27"/>
      <c r="P381" s="27"/>
      <c r="Q381" s="27"/>
      <c r="R381" s="27"/>
    </row>
    <row r="382" spans="1:18" ht="16.350000000000001" customHeight="1" x14ac:dyDescent="0.2">
      <c r="A382" s="77" t="s">
        <v>544</v>
      </c>
      <c r="B382" s="42" t="s">
        <v>545</v>
      </c>
      <c r="C382" s="42">
        <f>$O$377*0.939</f>
        <v>84.040499999999994</v>
      </c>
      <c r="D382" s="41" t="s">
        <v>1</v>
      </c>
      <c r="E382" s="41" t="s">
        <v>185</v>
      </c>
      <c r="F382" s="59">
        <v>1800</v>
      </c>
      <c r="G382" s="59">
        <v>1999</v>
      </c>
      <c r="H382" s="60">
        <f t="shared" si="27"/>
        <v>78.107565899999997</v>
      </c>
      <c r="I382" s="61">
        <v>0</v>
      </c>
      <c r="J382" s="94" t="s">
        <v>443</v>
      </c>
      <c r="K382" s="94"/>
      <c r="L382" s="94"/>
      <c r="M382" s="94"/>
      <c r="N382" s="27"/>
      <c r="O382" s="27"/>
      <c r="P382" s="27"/>
      <c r="Q382" s="27"/>
      <c r="R382" s="27"/>
    </row>
    <row r="383" spans="1:18" ht="16.350000000000001" customHeight="1" x14ac:dyDescent="0.2">
      <c r="A383" s="77" t="s">
        <v>544</v>
      </c>
      <c r="B383" s="42" t="s">
        <v>545</v>
      </c>
      <c r="C383" s="42">
        <f>$O$377*0.928</f>
        <v>83.055999999999997</v>
      </c>
      <c r="D383" s="41" t="s">
        <v>1</v>
      </c>
      <c r="E383" s="41" t="s">
        <v>185</v>
      </c>
      <c r="F383" s="59">
        <v>2000</v>
      </c>
      <c r="G383" s="59">
        <v>2399</v>
      </c>
      <c r="H383" s="60">
        <f t="shared" si="27"/>
        <v>77.213836799999996</v>
      </c>
      <c r="I383" s="61">
        <v>0</v>
      </c>
      <c r="J383" s="94" t="s">
        <v>443</v>
      </c>
      <c r="K383" s="94"/>
      <c r="L383" s="94"/>
      <c r="M383" s="94"/>
      <c r="N383" s="27"/>
      <c r="O383" s="27"/>
      <c r="P383" s="27"/>
      <c r="Q383" s="27"/>
      <c r="R383" s="27"/>
    </row>
    <row r="384" spans="1:18" ht="16.350000000000001" customHeight="1" x14ac:dyDescent="0.2">
      <c r="A384" s="77" t="s">
        <v>544</v>
      </c>
      <c r="B384" s="42" t="s">
        <v>545</v>
      </c>
      <c r="C384" s="42">
        <f>$O$377*0.91</f>
        <v>81.445000000000007</v>
      </c>
      <c r="D384" s="41" t="s">
        <v>1</v>
      </c>
      <c r="E384" s="41" t="s">
        <v>185</v>
      </c>
      <c r="F384" s="59">
        <v>2400</v>
      </c>
      <c r="G384" s="59">
        <v>3199</v>
      </c>
      <c r="H384" s="60">
        <f t="shared" si="27"/>
        <v>75.751371000000006</v>
      </c>
      <c r="I384" s="61">
        <v>0</v>
      </c>
      <c r="J384" s="94" t="s">
        <v>443</v>
      </c>
      <c r="K384" s="94"/>
      <c r="L384" s="94"/>
      <c r="M384" s="94"/>
      <c r="N384" s="27"/>
      <c r="O384" s="27"/>
      <c r="P384" s="27"/>
      <c r="Q384" s="27"/>
      <c r="R384" s="27"/>
    </row>
    <row r="385" spans="1:18" ht="16.350000000000001" customHeight="1" x14ac:dyDescent="0.2">
      <c r="A385" s="77" t="s">
        <v>544</v>
      </c>
      <c r="B385" s="42" t="s">
        <v>545</v>
      </c>
      <c r="C385" s="42">
        <f>$O$377*0.882</f>
        <v>78.939000000000007</v>
      </c>
      <c r="D385" s="41" t="s">
        <v>1</v>
      </c>
      <c r="E385" s="41" t="s">
        <v>185</v>
      </c>
      <c r="F385" s="59">
        <v>3200</v>
      </c>
      <c r="G385" s="59">
        <v>999999</v>
      </c>
      <c r="H385" s="60">
        <f>((C385+$C$12+$B$29)*($B$5*$C$5))</f>
        <v>73.476424200000011</v>
      </c>
      <c r="I385" s="61">
        <v>0</v>
      </c>
      <c r="J385" s="94" t="s">
        <v>443</v>
      </c>
      <c r="K385" s="94"/>
      <c r="L385" s="94"/>
      <c r="M385" s="94"/>
      <c r="N385" s="27"/>
      <c r="O385" s="27"/>
      <c r="P385" s="27"/>
      <c r="Q385" s="27"/>
      <c r="R385" s="27"/>
    </row>
    <row r="386" spans="1:18" ht="16.350000000000001" customHeight="1" x14ac:dyDescent="0.2">
      <c r="A386" s="97" t="s">
        <v>394</v>
      </c>
      <c r="B386" s="98"/>
      <c r="C386" s="99"/>
      <c r="D386" s="41" t="s">
        <v>1</v>
      </c>
      <c r="E386" s="41" t="s">
        <v>186</v>
      </c>
      <c r="F386" s="59">
        <v>0</v>
      </c>
      <c r="G386" s="59">
        <v>599</v>
      </c>
      <c r="H386" s="60">
        <f>((H376+H400)/2)</f>
        <v>99.781744800000013</v>
      </c>
      <c r="I386" s="61">
        <v>0</v>
      </c>
      <c r="J386" s="94" t="s">
        <v>125</v>
      </c>
      <c r="K386" s="94"/>
      <c r="L386" s="94"/>
      <c r="M386" s="94"/>
      <c r="N386" s="27"/>
      <c r="O386" s="27"/>
      <c r="P386" s="27"/>
      <c r="Q386" s="27"/>
      <c r="R386" s="27"/>
    </row>
    <row r="387" spans="1:18" ht="16.350000000000001" customHeight="1" x14ac:dyDescent="0.2">
      <c r="A387" s="97" t="s">
        <v>394</v>
      </c>
      <c r="B387" s="98"/>
      <c r="C387" s="99"/>
      <c r="D387" s="41" t="s">
        <v>1</v>
      </c>
      <c r="E387" s="41" t="s">
        <v>186</v>
      </c>
      <c r="F387" s="59">
        <v>600</v>
      </c>
      <c r="G387" s="59">
        <v>799</v>
      </c>
      <c r="H387" s="60">
        <f>((H377+H400)/2)</f>
        <v>97.872414450000008</v>
      </c>
      <c r="I387" s="61">
        <v>0</v>
      </c>
      <c r="J387" s="94" t="s">
        <v>125</v>
      </c>
      <c r="K387" s="94"/>
      <c r="L387" s="94"/>
      <c r="M387" s="94"/>
      <c r="N387" s="27"/>
      <c r="O387" s="27"/>
      <c r="P387" s="27"/>
      <c r="Q387" s="27"/>
      <c r="R387" s="27"/>
    </row>
    <row r="388" spans="1:18" ht="16.350000000000001" customHeight="1" x14ac:dyDescent="0.2">
      <c r="A388" s="97" t="s">
        <v>394</v>
      </c>
      <c r="B388" s="98"/>
      <c r="C388" s="99"/>
      <c r="D388" s="41" t="s">
        <v>1</v>
      </c>
      <c r="E388" s="41" t="s">
        <v>186</v>
      </c>
      <c r="F388" s="59">
        <v>800</v>
      </c>
      <c r="G388" s="59">
        <v>999</v>
      </c>
      <c r="H388" s="60">
        <f>((H378+H401)/2)</f>
        <v>92.771486250000009</v>
      </c>
      <c r="I388" s="61">
        <v>0</v>
      </c>
      <c r="J388" s="94" t="s">
        <v>125</v>
      </c>
      <c r="K388" s="94"/>
      <c r="L388" s="94"/>
      <c r="M388" s="94"/>
      <c r="N388" s="27"/>
      <c r="O388" s="27"/>
      <c r="P388" s="27"/>
      <c r="Q388" s="27"/>
      <c r="R388" s="27"/>
    </row>
    <row r="389" spans="1:18" ht="16.350000000000001" customHeight="1" x14ac:dyDescent="0.2">
      <c r="A389" s="97" t="s">
        <v>394</v>
      </c>
      <c r="B389" s="98"/>
      <c r="C389" s="99"/>
      <c r="D389" s="41" t="s">
        <v>1</v>
      </c>
      <c r="E389" s="41" t="s">
        <v>186</v>
      </c>
      <c r="F389" s="59">
        <v>1000</v>
      </c>
      <c r="G389" s="59">
        <v>1199</v>
      </c>
      <c r="H389" s="60">
        <f>((H379+H402)/2)</f>
        <v>90.553050000000013</v>
      </c>
      <c r="I389" s="61">
        <v>0</v>
      </c>
      <c r="J389" s="94" t="s">
        <v>125</v>
      </c>
      <c r="K389" s="94"/>
      <c r="L389" s="94"/>
      <c r="M389" s="94"/>
      <c r="N389" s="27"/>
      <c r="O389" s="27"/>
      <c r="P389" s="27"/>
      <c r="Q389" s="27"/>
      <c r="R389" s="27"/>
    </row>
    <row r="390" spans="1:18" ht="16.350000000000001" customHeight="1" x14ac:dyDescent="0.2">
      <c r="A390" s="97" t="s">
        <v>394</v>
      </c>
      <c r="B390" s="98"/>
      <c r="C390" s="99"/>
      <c r="D390" s="41" t="s">
        <v>1</v>
      </c>
      <c r="E390" s="41" t="s">
        <v>186</v>
      </c>
      <c r="F390" s="59">
        <v>1200</v>
      </c>
      <c r="G390" s="59">
        <v>1399</v>
      </c>
      <c r="H390" s="60">
        <f>((H380+H403)/2)</f>
        <v>88.867038449999995</v>
      </c>
      <c r="I390" s="61">
        <v>0</v>
      </c>
      <c r="J390" s="94" t="s">
        <v>125</v>
      </c>
      <c r="K390" s="94"/>
      <c r="L390" s="94"/>
      <c r="M390" s="94"/>
      <c r="N390" s="27"/>
      <c r="O390" s="27"/>
      <c r="P390" s="27"/>
      <c r="Q390" s="27"/>
      <c r="R390" s="27"/>
    </row>
    <row r="391" spans="1:18" ht="16.350000000000001" customHeight="1" x14ac:dyDescent="0.2">
      <c r="A391" s="97" t="s">
        <v>394</v>
      </c>
      <c r="B391" s="98"/>
      <c r="C391" s="99"/>
      <c r="D391" s="41" t="s">
        <v>1</v>
      </c>
      <c r="E391" s="41" t="s">
        <v>186</v>
      </c>
      <c r="F391" s="59">
        <v>1400</v>
      </c>
      <c r="G391" s="59">
        <v>1799</v>
      </c>
      <c r="H391" s="60">
        <f>((H381+H404)/2)</f>
        <v>87.358501799999999</v>
      </c>
      <c r="I391" s="61">
        <v>0</v>
      </c>
      <c r="J391" s="94" t="s">
        <v>125</v>
      </c>
      <c r="K391" s="94"/>
      <c r="L391" s="94"/>
      <c r="M391" s="94"/>
      <c r="N391" s="27"/>
      <c r="O391" s="27"/>
      <c r="P391" s="27"/>
      <c r="Q391" s="27"/>
      <c r="R391" s="27"/>
    </row>
    <row r="392" spans="1:18" ht="16.350000000000001" customHeight="1" x14ac:dyDescent="0.2">
      <c r="A392" s="97" t="s">
        <v>394</v>
      </c>
      <c r="B392" s="98"/>
      <c r="C392" s="99"/>
      <c r="D392" s="41" t="s">
        <v>1</v>
      </c>
      <c r="E392" s="41" t="s">
        <v>186</v>
      </c>
      <c r="F392" s="59">
        <v>1800</v>
      </c>
      <c r="G392" s="59">
        <v>1999</v>
      </c>
      <c r="H392" s="60">
        <f>((H382+H406)/2)</f>
        <v>85.140065550000003</v>
      </c>
      <c r="I392" s="61">
        <v>0</v>
      </c>
      <c r="J392" s="94" t="s">
        <v>125</v>
      </c>
      <c r="K392" s="94"/>
      <c r="L392" s="94"/>
      <c r="M392" s="94"/>
      <c r="N392" s="27"/>
      <c r="O392" s="27"/>
      <c r="P392" s="27"/>
      <c r="Q392" s="27"/>
      <c r="R392" s="27"/>
    </row>
    <row r="393" spans="1:18" ht="16.350000000000001" customHeight="1" x14ac:dyDescent="0.2">
      <c r="A393" s="97" t="s">
        <v>394</v>
      </c>
      <c r="B393" s="98"/>
      <c r="C393" s="99"/>
      <c r="D393" s="41" t="s">
        <v>1</v>
      </c>
      <c r="E393" s="41" t="s">
        <v>186</v>
      </c>
      <c r="F393" s="59">
        <v>2000</v>
      </c>
      <c r="G393" s="59">
        <v>2399</v>
      </c>
      <c r="H393" s="60">
        <f>((H383+H407)/2)</f>
        <v>84.163953600000013</v>
      </c>
      <c r="I393" s="61">
        <v>0</v>
      </c>
      <c r="J393" s="94" t="s">
        <v>125</v>
      </c>
      <c r="K393" s="94"/>
      <c r="L393" s="94"/>
      <c r="M393" s="94"/>
      <c r="N393" s="27"/>
      <c r="O393" s="27"/>
      <c r="P393" s="27"/>
      <c r="Q393" s="27"/>
      <c r="R393" s="27"/>
    </row>
    <row r="394" spans="1:18" ht="16.350000000000001" customHeight="1" x14ac:dyDescent="0.2">
      <c r="A394" s="97" t="s">
        <v>394</v>
      </c>
      <c r="B394" s="98"/>
      <c r="C394" s="99"/>
      <c r="D394" s="41" t="s">
        <v>1</v>
      </c>
      <c r="E394" s="41" t="s">
        <v>186</v>
      </c>
      <c r="F394" s="59">
        <v>2400</v>
      </c>
      <c r="G394" s="59">
        <v>3199</v>
      </c>
      <c r="H394" s="60">
        <f>((H384+H408)/2)</f>
        <v>82.566679500000006</v>
      </c>
      <c r="I394" s="61">
        <v>0</v>
      </c>
      <c r="J394" s="94" t="s">
        <v>125</v>
      </c>
      <c r="K394" s="94"/>
      <c r="L394" s="94"/>
      <c r="M394" s="94"/>
      <c r="N394" s="27"/>
      <c r="O394" s="27"/>
      <c r="P394" s="27"/>
      <c r="Q394" s="27"/>
      <c r="R394" s="27"/>
    </row>
    <row r="395" spans="1:18" ht="16.350000000000001" customHeight="1" x14ac:dyDescent="0.2">
      <c r="A395" s="97" t="s">
        <v>394</v>
      </c>
      <c r="B395" s="98"/>
      <c r="C395" s="99"/>
      <c r="D395" s="41" t="s">
        <v>1</v>
      </c>
      <c r="E395" s="41" t="s">
        <v>186</v>
      </c>
      <c r="F395" s="59">
        <v>3200</v>
      </c>
      <c r="G395" s="59">
        <v>999999</v>
      </c>
      <c r="H395" s="60">
        <f>((H385+H409)/2)</f>
        <v>80.082030900000007</v>
      </c>
      <c r="I395" s="61">
        <v>0</v>
      </c>
      <c r="J395" s="94" t="s">
        <v>125</v>
      </c>
      <c r="K395" s="94"/>
      <c r="L395" s="94"/>
      <c r="M395" s="94"/>
      <c r="N395" s="27"/>
      <c r="O395" s="27"/>
      <c r="P395" s="27"/>
      <c r="Q395" s="27"/>
      <c r="R395" s="27"/>
    </row>
    <row r="396" spans="1:18" ht="16.350000000000001" customHeight="1" x14ac:dyDescent="0.2">
      <c r="A396" s="87"/>
      <c r="B396" s="87"/>
      <c r="C396" s="87"/>
      <c r="D396" s="82"/>
      <c r="E396" s="82"/>
      <c r="F396" s="83"/>
      <c r="G396" s="83"/>
      <c r="H396" s="84"/>
      <c r="I396" s="85"/>
      <c r="J396" s="86"/>
      <c r="K396" s="86"/>
      <c r="L396" s="86"/>
      <c r="M396" s="86"/>
      <c r="N396" s="27"/>
      <c r="O396" s="27"/>
      <c r="P396" s="27"/>
      <c r="Q396" s="27"/>
      <c r="R396" s="27"/>
    </row>
    <row r="397" spans="1:18" ht="16.350000000000001" customHeight="1" x14ac:dyDescent="0.2">
      <c r="A397" s="88"/>
      <c r="B397" s="88"/>
      <c r="C397" s="88"/>
      <c r="D397" s="27"/>
      <c r="E397" s="27"/>
      <c r="F397" s="64"/>
      <c r="G397" s="64"/>
      <c r="H397" s="65"/>
      <c r="I397" s="26"/>
      <c r="J397" s="54"/>
      <c r="K397" s="54"/>
      <c r="L397" s="54"/>
      <c r="M397" s="54"/>
      <c r="N397" s="27"/>
      <c r="O397" s="27"/>
      <c r="P397" s="27"/>
      <c r="Q397" s="27"/>
      <c r="R397" s="27"/>
    </row>
    <row r="398" spans="1:18" ht="16.350000000000001" customHeight="1" x14ac:dyDescent="0.2">
      <c r="A398" s="88"/>
      <c r="B398" s="88"/>
      <c r="C398" s="88"/>
      <c r="D398" s="27"/>
      <c r="E398" s="27"/>
      <c r="F398" s="64"/>
      <c r="G398" s="64"/>
      <c r="H398" s="65"/>
      <c r="I398" s="26"/>
      <c r="J398" s="54"/>
      <c r="K398" s="54"/>
      <c r="L398" s="54"/>
      <c r="M398" s="54"/>
      <c r="N398" s="27"/>
      <c r="O398" s="27"/>
      <c r="P398" s="27"/>
      <c r="Q398" s="27"/>
      <c r="R398" s="27"/>
    </row>
    <row r="399" spans="1:18" ht="16.350000000000001" customHeight="1" x14ac:dyDescent="0.2">
      <c r="A399" s="55" t="s">
        <v>389</v>
      </c>
      <c r="B399" s="55" t="s">
        <v>390</v>
      </c>
      <c r="C399" s="55" t="s">
        <v>391</v>
      </c>
      <c r="D399" s="56" t="s">
        <v>2</v>
      </c>
      <c r="E399" s="55" t="s">
        <v>334</v>
      </c>
      <c r="F399" s="66" t="s">
        <v>333</v>
      </c>
      <c r="G399" s="66" t="s">
        <v>333</v>
      </c>
      <c r="H399" s="57" t="s">
        <v>335</v>
      </c>
      <c r="I399" s="58" t="s">
        <v>336</v>
      </c>
      <c r="J399" s="95" t="s">
        <v>0</v>
      </c>
      <c r="K399" s="95"/>
      <c r="L399" s="95"/>
      <c r="M399" s="95"/>
      <c r="N399" s="27"/>
      <c r="O399" s="27"/>
      <c r="P399" s="27"/>
      <c r="Q399" s="27"/>
      <c r="R399" s="27"/>
    </row>
    <row r="400" spans="1:18" ht="16.350000000000001" customHeight="1" x14ac:dyDescent="0.2">
      <c r="A400" s="77" t="s">
        <v>544</v>
      </c>
      <c r="B400" s="42" t="s">
        <v>546</v>
      </c>
      <c r="C400" s="42">
        <f>$O$401*1.104</f>
        <v>117.02400000000002</v>
      </c>
      <c r="D400" s="41" t="s">
        <v>1</v>
      </c>
      <c r="E400" s="41" t="s">
        <v>187</v>
      </c>
      <c r="F400" s="59">
        <v>0</v>
      </c>
      <c r="G400" s="59">
        <v>799</v>
      </c>
      <c r="H400" s="60">
        <f>((C400+$C$14+$B$29)*($B$5*$C$5))</f>
        <v>108.04998720000002</v>
      </c>
      <c r="I400" s="61">
        <v>0</v>
      </c>
      <c r="J400" s="94" t="s">
        <v>124</v>
      </c>
      <c r="K400" s="94"/>
      <c r="L400" s="94"/>
      <c r="M400" s="94"/>
      <c r="N400" s="27"/>
      <c r="O400" s="27" t="s">
        <v>498</v>
      </c>
      <c r="P400" s="27"/>
      <c r="Q400" s="27"/>
      <c r="R400" s="27"/>
    </row>
    <row r="401" spans="1:18" ht="16.350000000000001" customHeight="1" x14ac:dyDescent="0.2">
      <c r="A401" s="77" t="s">
        <v>544</v>
      </c>
      <c r="B401" s="42" t="s">
        <v>546</v>
      </c>
      <c r="C401" s="42">
        <f>$O$401*1.025</f>
        <v>108.64999999999999</v>
      </c>
      <c r="D401" s="41" t="s">
        <v>1</v>
      </c>
      <c r="E401" s="41" t="s">
        <v>187</v>
      </c>
      <c r="F401" s="59">
        <v>800</v>
      </c>
      <c r="G401" s="59">
        <v>999</v>
      </c>
      <c r="H401" s="60">
        <f t="shared" ref="H401:H408" si="28">((C401+$C$14+$B$29)*($B$5*$C$5))</f>
        <v>100.44807</v>
      </c>
      <c r="I401" s="61">
        <v>0</v>
      </c>
      <c r="J401" s="94" t="s">
        <v>124</v>
      </c>
      <c r="K401" s="94"/>
      <c r="L401" s="94"/>
      <c r="M401" s="94"/>
      <c r="N401" s="27"/>
      <c r="O401" s="27">
        <v>106</v>
      </c>
      <c r="P401" s="27"/>
      <c r="Q401" s="27"/>
      <c r="R401" s="27"/>
    </row>
    <row r="402" spans="1:18" ht="16.350000000000001" customHeight="1" x14ac:dyDescent="0.2">
      <c r="A402" s="77" t="s">
        <v>544</v>
      </c>
      <c r="B402" s="42" t="s">
        <v>546</v>
      </c>
      <c r="C402" s="42">
        <f>$O$401*1</f>
        <v>106</v>
      </c>
      <c r="D402" s="41" t="s">
        <v>1</v>
      </c>
      <c r="E402" s="41" t="s">
        <v>187</v>
      </c>
      <c r="F402" s="59">
        <v>1000</v>
      </c>
      <c r="G402" s="59">
        <v>1199</v>
      </c>
      <c r="H402" s="60">
        <f t="shared" si="28"/>
        <v>98.042400000000001</v>
      </c>
      <c r="I402" s="61">
        <v>0</v>
      </c>
      <c r="J402" s="94" t="s">
        <v>124</v>
      </c>
      <c r="K402" s="94"/>
      <c r="L402" s="94"/>
      <c r="M402" s="94"/>
      <c r="N402" s="27"/>
      <c r="O402" s="27" t="s">
        <v>494</v>
      </c>
      <c r="P402" s="27"/>
      <c r="Q402" s="27"/>
      <c r="R402" s="27"/>
    </row>
    <row r="403" spans="1:18" ht="16.350000000000001" customHeight="1" x14ac:dyDescent="0.2">
      <c r="A403" s="77" t="s">
        <v>544</v>
      </c>
      <c r="B403" s="42" t="s">
        <v>546</v>
      </c>
      <c r="C403" s="42">
        <f>$O$401*0.981</f>
        <v>103.986</v>
      </c>
      <c r="D403" s="41" t="s">
        <v>1</v>
      </c>
      <c r="E403" s="41" t="s">
        <v>187</v>
      </c>
      <c r="F403" s="59">
        <v>1200</v>
      </c>
      <c r="G403" s="59">
        <v>1399</v>
      </c>
      <c r="H403" s="60">
        <f t="shared" si="28"/>
        <v>96.214090800000008</v>
      </c>
      <c r="I403" s="61">
        <v>0</v>
      </c>
      <c r="J403" s="94" t="s">
        <v>124</v>
      </c>
      <c r="K403" s="94"/>
      <c r="L403" s="94"/>
      <c r="M403" s="94"/>
      <c r="N403" s="27"/>
      <c r="O403" s="27"/>
      <c r="P403" s="27"/>
      <c r="Q403" s="27"/>
      <c r="R403" s="27"/>
    </row>
    <row r="404" spans="1:18" ht="16.350000000000001" customHeight="1" x14ac:dyDescent="0.2">
      <c r="A404" s="77" t="s">
        <v>544</v>
      </c>
      <c r="B404" s="42" t="s">
        <v>546</v>
      </c>
      <c r="C404" s="42">
        <f>$O$401*0.964</f>
        <v>102.184</v>
      </c>
      <c r="D404" s="41" t="s">
        <v>1</v>
      </c>
      <c r="E404" s="41" t="s">
        <v>187</v>
      </c>
      <c r="F404" s="59">
        <v>1400</v>
      </c>
      <c r="G404" s="59">
        <v>1599</v>
      </c>
      <c r="H404" s="60">
        <f t="shared" si="28"/>
        <v>94.578235200000009</v>
      </c>
      <c r="I404" s="61">
        <v>0</v>
      </c>
      <c r="J404" s="94" t="s">
        <v>124</v>
      </c>
      <c r="K404" s="94"/>
      <c r="L404" s="94"/>
      <c r="M404" s="94"/>
      <c r="N404" s="27"/>
      <c r="O404" s="27"/>
      <c r="P404" s="27"/>
      <c r="Q404" s="27"/>
      <c r="R404" s="27"/>
    </row>
    <row r="405" spans="1:18" ht="16.350000000000001" customHeight="1" x14ac:dyDescent="0.2">
      <c r="A405" s="77" t="s">
        <v>544</v>
      </c>
      <c r="B405" s="42" t="s">
        <v>546</v>
      </c>
      <c r="C405" s="42">
        <f>$O$401*0.951</f>
        <v>100.806</v>
      </c>
      <c r="D405" s="41" t="s">
        <v>1</v>
      </c>
      <c r="E405" s="41" t="s">
        <v>187</v>
      </c>
      <c r="F405" s="59">
        <v>1600</v>
      </c>
      <c r="G405" s="59">
        <v>1799</v>
      </c>
      <c r="H405" s="60">
        <f t="shared" si="28"/>
        <v>93.327286799999996</v>
      </c>
      <c r="I405" s="61">
        <v>0</v>
      </c>
      <c r="J405" s="94" t="s">
        <v>124</v>
      </c>
      <c r="K405" s="94"/>
      <c r="L405" s="94"/>
      <c r="M405" s="94"/>
      <c r="N405" s="27"/>
      <c r="O405" s="27"/>
      <c r="P405" s="27"/>
      <c r="Q405" s="27"/>
      <c r="R405" s="27"/>
    </row>
    <row r="406" spans="1:18" ht="16.350000000000001" customHeight="1" x14ac:dyDescent="0.2">
      <c r="A406" s="77" t="s">
        <v>544</v>
      </c>
      <c r="B406" s="42" t="s">
        <v>546</v>
      </c>
      <c r="C406" s="42">
        <f>$O$401*0.939</f>
        <v>99.533999999999992</v>
      </c>
      <c r="D406" s="41" t="s">
        <v>1</v>
      </c>
      <c r="E406" s="41" t="s">
        <v>187</v>
      </c>
      <c r="F406" s="59">
        <v>1800</v>
      </c>
      <c r="G406" s="59">
        <v>2199</v>
      </c>
      <c r="H406" s="60">
        <f t="shared" si="28"/>
        <v>92.172565199999994</v>
      </c>
      <c r="I406" s="61">
        <v>0</v>
      </c>
      <c r="J406" s="94" t="s">
        <v>124</v>
      </c>
      <c r="K406" s="94"/>
      <c r="L406" s="94"/>
      <c r="M406" s="94"/>
      <c r="N406" s="27"/>
      <c r="O406" s="27"/>
      <c r="P406" s="27"/>
      <c r="Q406" s="27"/>
      <c r="R406" s="27"/>
    </row>
    <row r="407" spans="1:18" ht="16.350000000000001" customHeight="1" x14ac:dyDescent="0.2">
      <c r="A407" s="77" t="s">
        <v>544</v>
      </c>
      <c r="B407" s="42" t="s">
        <v>546</v>
      </c>
      <c r="C407" s="42">
        <f>$O$401*0.928</f>
        <v>98.368000000000009</v>
      </c>
      <c r="D407" s="41" t="s">
        <v>1</v>
      </c>
      <c r="E407" s="41" t="s">
        <v>187</v>
      </c>
      <c r="F407" s="59">
        <v>2000</v>
      </c>
      <c r="G407" s="59">
        <v>2399</v>
      </c>
      <c r="H407" s="60">
        <f t="shared" si="28"/>
        <v>91.114070400000017</v>
      </c>
      <c r="I407" s="61">
        <v>0</v>
      </c>
      <c r="J407" s="94" t="s">
        <v>124</v>
      </c>
      <c r="K407" s="94"/>
      <c r="L407" s="94"/>
      <c r="M407" s="94"/>
      <c r="N407" s="27"/>
      <c r="O407" s="27"/>
      <c r="P407" s="27"/>
      <c r="Q407" s="27"/>
      <c r="R407" s="27"/>
    </row>
    <row r="408" spans="1:18" ht="16.350000000000001" customHeight="1" x14ac:dyDescent="0.2">
      <c r="A408" s="77" t="s">
        <v>544</v>
      </c>
      <c r="B408" s="42" t="s">
        <v>546</v>
      </c>
      <c r="C408" s="42">
        <f>$O$401*0.91</f>
        <v>96.460000000000008</v>
      </c>
      <c r="D408" s="41" t="s">
        <v>1</v>
      </c>
      <c r="E408" s="41" t="s">
        <v>187</v>
      </c>
      <c r="F408" s="59">
        <v>2400</v>
      </c>
      <c r="G408" s="59">
        <v>3199</v>
      </c>
      <c r="H408" s="60">
        <f t="shared" si="28"/>
        <v>89.381988000000007</v>
      </c>
      <c r="I408" s="61">
        <v>0</v>
      </c>
      <c r="J408" s="94" t="s">
        <v>124</v>
      </c>
      <c r="K408" s="94"/>
      <c r="L408" s="94"/>
      <c r="M408" s="94"/>
      <c r="N408" s="27"/>
      <c r="O408" s="27"/>
      <c r="P408" s="27"/>
      <c r="Q408" s="27"/>
      <c r="R408" s="27"/>
    </row>
    <row r="409" spans="1:18" ht="16.350000000000001" customHeight="1" x14ac:dyDescent="0.2">
      <c r="A409" s="77" t="s">
        <v>544</v>
      </c>
      <c r="B409" s="42" t="s">
        <v>546</v>
      </c>
      <c r="C409" s="42">
        <f>$O$401*0.882</f>
        <v>93.492000000000004</v>
      </c>
      <c r="D409" s="41" t="s">
        <v>1</v>
      </c>
      <c r="E409" s="41" t="s">
        <v>187</v>
      </c>
      <c r="F409" s="59">
        <v>3200</v>
      </c>
      <c r="G409" s="59">
        <v>999999</v>
      </c>
      <c r="H409" s="60">
        <f>((C409+$C$14+$B$29)*($B$5*$C$5))</f>
        <v>86.687637600000002</v>
      </c>
      <c r="I409" s="61">
        <v>0</v>
      </c>
      <c r="J409" s="94" t="s">
        <v>124</v>
      </c>
      <c r="K409" s="94"/>
      <c r="L409" s="94"/>
      <c r="M409" s="94"/>
      <c r="N409" s="27"/>
      <c r="O409" s="27"/>
      <c r="P409" s="27"/>
      <c r="Q409" s="27"/>
      <c r="R409" s="27"/>
    </row>
    <row r="410" spans="1:18" ht="16.350000000000001" customHeight="1" x14ac:dyDescent="0.2">
      <c r="A410" s="97" t="s">
        <v>395</v>
      </c>
      <c r="B410" s="98"/>
      <c r="C410" s="99"/>
      <c r="D410" s="41" t="s">
        <v>1</v>
      </c>
      <c r="E410" s="41" t="s">
        <v>188</v>
      </c>
      <c r="F410" s="59">
        <v>0</v>
      </c>
      <c r="G410" s="59">
        <v>799</v>
      </c>
      <c r="H410" s="60">
        <f>((H400+H420)/2)</f>
        <v>114.7622604</v>
      </c>
      <c r="I410" s="61">
        <v>0</v>
      </c>
      <c r="J410" s="94" t="s">
        <v>123</v>
      </c>
      <c r="K410" s="94"/>
      <c r="L410" s="94"/>
      <c r="M410" s="94"/>
      <c r="N410" s="27"/>
      <c r="O410" s="27"/>
      <c r="P410" s="27"/>
      <c r="Q410" s="27"/>
      <c r="R410" s="27"/>
    </row>
    <row r="411" spans="1:18" ht="16.350000000000001" customHeight="1" x14ac:dyDescent="0.2">
      <c r="A411" s="97" t="s">
        <v>395</v>
      </c>
      <c r="B411" s="98"/>
      <c r="C411" s="99"/>
      <c r="D411" s="41" t="s">
        <v>1</v>
      </c>
      <c r="E411" s="41" t="s">
        <v>188</v>
      </c>
      <c r="F411" s="59">
        <v>800</v>
      </c>
      <c r="G411" s="59">
        <v>999</v>
      </c>
      <c r="H411" s="60">
        <f t="shared" ref="H411:H416" si="29">((H401+H420)/2)</f>
        <v>110.9613018</v>
      </c>
      <c r="I411" s="61">
        <v>0</v>
      </c>
      <c r="J411" s="94" t="s">
        <v>123</v>
      </c>
      <c r="K411" s="94"/>
      <c r="L411" s="94"/>
      <c r="M411" s="94"/>
      <c r="N411" s="27"/>
      <c r="O411" s="27"/>
      <c r="P411" s="27"/>
      <c r="Q411" s="27"/>
      <c r="R411" s="27"/>
    </row>
    <row r="412" spans="1:18" ht="16.350000000000001" customHeight="1" x14ac:dyDescent="0.2">
      <c r="A412" s="97" t="s">
        <v>395</v>
      </c>
      <c r="B412" s="98"/>
      <c r="C412" s="99"/>
      <c r="D412" s="41" t="s">
        <v>1</v>
      </c>
      <c r="E412" s="41" t="s">
        <v>188</v>
      </c>
      <c r="F412" s="59">
        <v>1000</v>
      </c>
      <c r="G412" s="59">
        <v>1199</v>
      </c>
      <c r="H412" s="60">
        <f t="shared" si="29"/>
        <v>108.463944</v>
      </c>
      <c r="I412" s="61">
        <v>0</v>
      </c>
      <c r="J412" s="94" t="s">
        <v>123</v>
      </c>
      <c r="K412" s="94"/>
      <c r="L412" s="94"/>
      <c r="M412" s="94"/>
      <c r="N412" s="27"/>
      <c r="O412" s="27"/>
      <c r="P412" s="27"/>
      <c r="Q412" s="27"/>
      <c r="R412" s="27"/>
    </row>
    <row r="413" spans="1:18" ht="16.350000000000001" customHeight="1" x14ac:dyDescent="0.2">
      <c r="A413" s="97" t="s">
        <v>395</v>
      </c>
      <c r="B413" s="98"/>
      <c r="C413" s="99"/>
      <c r="D413" s="41" t="s">
        <v>1</v>
      </c>
      <c r="E413" s="41" t="s">
        <v>188</v>
      </c>
      <c r="F413" s="59">
        <v>1200</v>
      </c>
      <c r="G413" s="59">
        <v>1399</v>
      </c>
      <c r="H413" s="60">
        <f t="shared" si="29"/>
        <v>106.5366846</v>
      </c>
      <c r="I413" s="61">
        <v>0</v>
      </c>
      <c r="J413" s="94" t="s">
        <v>123</v>
      </c>
      <c r="K413" s="94"/>
      <c r="L413" s="94"/>
      <c r="M413" s="94"/>
      <c r="N413" s="27"/>
      <c r="O413" s="27"/>
      <c r="P413" s="27"/>
      <c r="Q413" s="27"/>
      <c r="R413" s="27"/>
    </row>
    <row r="414" spans="1:18" ht="16.350000000000001" customHeight="1" x14ac:dyDescent="0.2">
      <c r="A414" s="97" t="s">
        <v>395</v>
      </c>
      <c r="B414" s="98"/>
      <c r="C414" s="99"/>
      <c r="D414" s="41" t="s">
        <v>1</v>
      </c>
      <c r="E414" s="41" t="s">
        <v>188</v>
      </c>
      <c r="F414" s="59">
        <v>1400</v>
      </c>
      <c r="G414" s="59">
        <v>1599</v>
      </c>
      <c r="H414" s="60">
        <f t="shared" si="29"/>
        <v>104.8745028</v>
      </c>
      <c r="I414" s="61">
        <v>0</v>
      </c>
      <c r="J414" s="94" t="s">
        <v>123</v>
      </c>
      <c r="K414" s="94"/>
      <c r="L414" s="94"/>
      <c r="M414" s="94"/>
      <c r="N414" s="27"/>
      <c r="O414" s="27"/>
      <c r="P414" s="27"/>
      <c r="Q414" s="27"/>
      <c r="R414" s="27"/>
    </row>
    <row r="415" spans="1:18" ht="16.350000000000001" customHeight="1" x14ac:dyDescent="0.2">
      <c r="A415" s="97" t="s">
        <v>395</v>
      </c>
      <c r="B415" s="98"/>
      <c r="C415" s="99"/>
      <c r="D415" s="41" t="s">
        <v>1</v>
      </c>
      <c r="E415" s="41" t="s">
        <v>188</v>
      </c>
      <c r="F415" s="59">
        <v>1600</v>
      </c>
      <c r="G415" s="59">
        <v>1799</v>
      </c>
      <c r="H415" s="60">
        <f t="shared" si="29"/>
        <v>103.5173418</v>
      </c>
      <c r="I415" s="61">
        <v>0</v>
      </c>
      <c r="J415" s="94" t="s">
        <v>123</v>
      </c>
      <c r="K415" s="94"/>
      <c r="L415" s="94"/>
      <c r="M415" s="94"/>
      <c r="N415" s="27"/>
      <c r="O415" s="27"/>
      <c r="P415" s="27"/>
      <c r="Q415" s="27"/>
      <c r="R415" s="27"/>
    </row>
    <row r="416" spans="1:18" ht="16.350000000000001" customHeight="1" x14ac:dyDescent="0.2">
      <c r="A416" s="97" t="s">
        <v>395</v>
      </c>
      <c r="B416" s="98"/>
      <c r="C416" s="99"/>
      <c r="D416" s="41" t="s">
        <v>1</v>
      </c>
      <c r="E416" s="41" t="s">
        <v>188</v>
      </c>
      <c r="F416" s="59">
        <v>1800</v>
      </c>
      <c r="G416" s="59">
        <v>2199</v>
      </c>
      <c r="H416" s="60">
        <f t="shared" si="29"/>
        <v>102.2645778</v>
      </c>
      <c r="I416" s="61">
        <v>0</v>
      </c>
      <c r="J416" s="94" t="s">
        <v>123</v>
      </c>
      <c r="K416" s="94"/>
      <c r="L416" s="94"/>
      <c r="M416" s="94"/>
      <c r="N416" s="27"/>
      <c r="O416" s="27"/>
      <c r="P416" s="27"/>
      <c r="Q416" s="27"/>
      <c r="R416" s="27"/>
    </row>
    <row r="417" spans="1:18" ht="16.350000000000001" customHeight="1" x14ac:dyDescent="0.2">
      <c r="A417" s="97" t="s">
        <v>395</v>
      </c>
      <c r="B417" s="98"/>
      <c r="C417" s="99"/>
      <c r="D417" s="41" t="s">
        <v>1</v>
      </c>
      <c r="E417" s="41" t="s">
        <v>188</v>
      </c>
      <c r="F417" s="59">
        <v>2200</v>
      </c>
      <c r="G417" s="59">
        <v>2599</v>
      </c>
      <c r="H417" s="60">
        <f>((H407+H408+H426+H427)/4)</f>
        <v>100.26106320000001</v>
      </c>
      <c r="I417" s="61">
        <v>0</v>
      </c>
      <c r="J417" s="94" t="s">
        <v>123</v>
      </c>
      <c r="K417" s="94"/>
      <c r="L417" s="94"/>
      <c r="M417" s="94"/>
      <c r="N417" s="27"/>
      <c r="O417" s="27"/>
      <c r="P417" s="27"/>
      <c r="Q417" s="27"/>
      <c r="R417" s="27"/>
    </row>
    <row r="418" spans="1:18" ht="16.350000000000001" customHeight="1" x14ac:dyDescent="0.2">
      <c r="A418" s="97" t="s">
        <v>395</v>
      </c>
      <c r="B418" s="98"/>
      <c r="C418" s="99"/>
      <c r="D418" s="41" t="s">
        <v>1</v>
      </c>
      <c r="E418" s="41" t="s">
        <v>188</v>
      </c>
      <c r="F418" s="59">
        <v>2600</v>
      </c>
      <c r="G418" s="59">
        <v>2999</v>
      </c>
      <c r="H418" s="60">
        <f>(((H408+H408+H408+H409)/4)+((H427+H428)/2))/2</f>
        <v>98.618853000000016</v>
      </c>
      <c r="I418" s="61">
        <v>0</v>
      </c>
      <c r="J418" s="94" t="s">
        <v>123</v>
      </c>
      <c r="K418" s="94"/>
      <c r="L418" s="94"/>
      <c r="M418" s="94"/>
      <c r="N418" s="27"/>
      <c r="O418" s="27"/>
      <c r="P418" s="27"/>
      <c r="Q418" s="27"/>
      <c r="R418" s="27"/>
    </row>
    <row r="419" spans="1:18" ht="16.350000000000001" customHeight="1" x14ac:dyDescent="0.2">
      <c r="A419" s="97" t="s">
        <v>395</v>
      </c>
      <c r="B419" s="98"/>
      <c r="C419" s="99"/>
      <c r="D419" s="41" t="s">
        <v>1</v>
      </c>
      <c r="E419" s="41" t="s">
        <v>188</v>
      </c>
      <c r="F419" s="59">
        <v>3000</v>
      </c>
      <c r="G419" s="59">
        <v>999999</v>
      </c>
      <c r="H419" s="60">
        <f>(((H409+H409+H409+H408)/4)+((H428+H429)/2))/2</f>
        <v>97.213578600000005</v>
      </c>
      <c r="I419" s="61">
        <v>0</v>
      </c>
      <c r="J419" s="94" t="s">
        <v>123</v>
      </c>
      <c r="K419" s="94"/>
      <c r="L419" s="94"/>
      <c r="M419" s="94"/>
      <c r="N419" s="27"/>
      <c r="O419" s="27"/>
      <c r="P419" s="27"/>
      <c r="Q419" s="27"/>
      <c r="R419" s="27"/>
    </row>
    <row r="420" spans="1:18" ht="16.350000000000001" customHeight="1" x14ac:dyDescent="0.2">
      <c r="A420" s="77" t="s">
        <v>544</v>
      </c>
      <c r="B420" s="42" t="s">
        <v>547</v>
      </c>
      <c r="C420" s="42">
        <f>$O$421*1.063</f>
        <v>131.81199999999998</v>
      </c>
      <c r="D420" s="41" t="s">
        <v>1</v>
      </c>
      <c r="E420" s="41" t="s">
        <v>189</v>
      </c>
      <c r="F420" s="59">
        <v>0</v>
      </c>
      <c r="G420" s="59">
        <v>999</v>
      </c>
      <c r="H420" s="60">
        <f>((C420+$C$16+$B$29)*($B$5*$C$5))</f>
        <v>121.47453359999999</v>
      </c>
      <c r="I420" s="61">
        <v>0</v>
      </c>
      <c r="J420" s="94" t="s">
        <v>122</v>
      </c>
      <c r="K420" s="94"/>
      <c r="L420" s="94"/>
      <c r="M420" s="94"/>
      <c r="N420" s="27"/>
      <c r="O420" s="27" t="s">
        <v>498</v>
      </c>
      <c r="P420" s="27"/>
      <c r="Q420" s="27"/>
      <c r="R420" s="27"/>
    </row>
    <row r="421" spans="1:18" ht="16.350000000000001" customHeight="1" x14ac:dyDescent="0.2">
      <c r="A421" s="77" t="s">
        <v>544</v>
      </c>
      <c r="B421" s="42" t="s">
        <v>547</v>
      </c>
      <c r="C421" s="42">
        <f>$O$421*1.04</f>
        <v>128.96</v>
      </c>
      <c r="D421" s="41" t="s">
        <v>1</v>
      </c>
      <c r="E421" s="41" t="s">
        <v>189</v>
      </c>
      <c r="F421" s="59">
        <v>1000</v>
      </c>
      <c r="G421" s="59">
        <v>1199</v>
      </c>
      <c r="H421" s="60">
        <f t="shared" ref="H421:H429" si="30">((C421+$C$16+$B$29)*($B$5*$C$5))</f>
        <v>118.88548800000001</v>
      </c>
      <c r="I421" s="61">
        <v>0</v>
      </c>
      <c r="J421" s="94" t="s">
        <v>122</v>
      </c>
      <c r="K421" s="94"/>
      <c r="L421" s="94"/>
      <c r="M421" s="94"/>
      <c r="N421" s="27"/>
      <c r="O421" s="27">
        <v>124</v>
      </c>
      <c r="P421" s="27"/>
      <c r="Q421" s="27"/>
      <c r="R421" s="27"/>
    </row>
    <row r="422" spans="1:18" ht="16.350000000000001" customHeight="1" x14ac:dyDescent="0.2">
      <c r="A422" s="77" t="s">
        <v>544</v>
      </c>
      <c r="B422" s="42" t="s">
        <v>547</v>
      </c>
      <c r="C422" s="42">
        <f>$O$421*1.022</f>
        <v>126.72800000000001</v>
      </c>
      <c r="D422" s="41" t="s">
        <v>1</v>
      </c>
      <c r="E422" s="41" t="s">
        <v>189</v>
      </c>
      <c r="F422" s="59">
        <v>1200</v>
      </c>
      <c r="G422" s="59">
        <v>1399</v>
      </c>
      <c r="H422" s="60">
        <f t="shared" si="30"/>
        <v>116.85927840000001</v>
      </c>
      <c r="I422" s="61">
        <v>0</v>
      </c>
      <c r="J422" s="94" t="s">
        <v>122</v>
      </c>
      <c r="K422" s="94"/>
      <c r="L422" s="94"/>
      <c r="M422" s="94"/>
      <c r="N422" s="27"/>
      <c r="O422" s="27" t="s">
        <v>495</v>
      </c>
      <c r="P422" s="27"/>
      <c r="Q422" s="27"/>
      <c r="R422" s="27"/>
    </row>
    <row r="423" spans="1:18" ht="16.350000000000001" customHeight="1" x14ac:dyDescent="0.2">
      <c r="A423" s="77" t="s">
        <v>544</v>
      </c>
      <c r="B423" s="42" t="s">
        <v>547</v>
      </c>
      <c r="C423" s="42">
        <f>$O$421*1.007</f>
        <v>124.86799999999998</v>
      </c>
      <c r="D423" s="41" t="s">
        <v>1</v>
      </c>
      <c r="E423" s="41" t="s">
        <v>189</v>
      </c>
      <c r="F423" s="59">
        <v>1400</v>
      </c>
      <c r="G423" s="59">
        <v>1599</v>
      </c>
      <c r="H423" s="60">
        <f t="shared" si="30"/>
        <v>115.17077039999999</v>
      </c>
      <c r="I423" s="61">
        <v>0</v>
      </c>
      <c r="J423" s="94" t="s">
        <v>122</v>
      </c>
      <c r="K423" s="94"/>
      <c r="L423" s="94"/>
      <c r="M423" s="94"/>
      <c r="N423" s="27"/>
      <c r="O423" s="27"/>
      <c r="P423" s="27"/>
      <c r="Q423" s="27"/>
      <c r="R423" s="27"/>
    </row>
    <row r="424" spans="1:18" ht="16.350000000000001" customHeight="1" x14ac:dyDescent="0.2">
      <c r="A424" s="77" t="s">
        <v>544</v>
      </c>
      <c r="B424" s="42" t="s">
        <v>547</v>
      </c>
      <c r="C424" s="42">
        <f>$O$421*0.994</f>
        <v>123.256</v>
      </c>
      <c r="D424" s="41" t="s">
        <v>1</v>
      </c>
      <c r="E424" s="41" t="s">
        <v>189</v>
      </c>
      <c r="F424" s="59">
        <v>1600</v>
      </c>
      <c r="G424" s="59">
        <v>1799</v>
      </c>
      <c r="H424" s="60">
        <f t="shared" si="30"/>
        <v>113.70739680000001</v>
      </c>
      <c r="I424" s="61">
        <v>0</v>
      </c>
      <c r="J424" s="94" t="s">
        <v>122</v>
      </c>
      <c r="K424" s="94"/>
      <c r="L424" s="94"/>
      <c r="M424" s="94"/>
      <c r="N424" s="27"/>
      <c r="O424" s="27"/>
      <c r="P424" s="27"/>
      <c r="Q424" s="27"/>
      <c r="R424" s="27"/>
    </row>
    <row r="425" spans="1:18" ht="16.350000000000001" customHeight="1" x14ac:dyDescent="0.2">
      <c r="A425" s="77" t="s">
        <v>544</v>
      </c>
      <c r="B425" s="42" t="s">
        <v>547</v>
      </c>
      <c r="C425" s="42">
        <f>$O$421*0.982</f>
        <v>121.768</v>
      </c>
      <c r="D425" s="41" t="s">
        <v>1</v>
      </c>
      <c r="E425" s="41" t="s">
        <v>189</v>
      </c>
      <c r="F425" s="59">
        <v>1800</v>
      </c>
      <c r="G425" s="59">
        <v>2199</v>
      </c>
      <c r="H425" s="60">
        <f t="shared" si="30"/>
        <v>112.3565904</v>
      </c>
      <c r="I425" s="61">
        <v>0</v>
      </c>
      <c r="J425" s="94" t="s">
        <v>122</v>
      </c>
      <c r="K425" s="94"/>
      <c r="L425" s="94"/>
      <c r="M425" s="94"/>
      <c r="N425" s="27"/>
      <c r="O425" s="27"/>
      <c r="P425" s="27"/>
      <c r="Q425" s="27"/>
      <c r="R425" s="27"/>
    </row>
    <row r="426" spans="1:18" ht="16.350000000000001" customHeight="1" x14ac:dyDescent="0.2">
      <c r="A426" s="77" t="s">
        <v>544</v>
      </c>
      <c r="B426" s="42" t="s">
        <v>547</v>
      </c>
      <c r="C426" s="42">
        <f>$O$421*0.972</f>
        <v>120.52799999999999</v>
      </c>
      <c r="D426" s="41" t="s">
        <v>1</v>
      </c>
      <c r="E426" s="41" t="s">
        <v>189</v>
      </c>
      <c r="F426" s="59">
        <v>2000</v>
      </c>
      <c r="G426" s="59">
        <v>2399</v>
      </c>
      <c r="H426" s="60">
        <f t="shared" si="30"/>
        <v>111.23091839999999</v>
      </c>
      <c r="I426" s="61">
        <v>0</v>
      </c>
      <c r="J426" s="94" t="s">
        <v>122</v>
      </c>
      <c r="K426" s="94"/>
      <c r="L426" s="94"/>
      <c r="M426" s="94"/>
      <c r="N426" s="27"/>
      <c r="O426" s="27"/>
      <c r="P426" s="27"/>
      <c r="Q426" s="27"/>
      <c r="R426" s="27"/>
    </row>
    <row r="427" spans="1:18" ht="16.350000000000001" customHeight="1" x14ac:dyDescent="0.2">
      <c r="A427" s="77" t="s">
        <v>544</v>
      </c>
      <c r="B427" s="42" t="s">
        <v>547</v>
      </c>
      <c r="C427" s="42">
        <f>$O$421*0.955</f>
        <v>118.42</v>
      </c>
      <c r="D427" s="41" t="s">
        <v>1</v>
      </c>
      <c r="E427" s="41" t="s">
        <v>189</v>
      </c>
      <c r="F427" s="59">
        <v>2400</v>
      </c>
      <c r="G427" s="59">
        <v>2799</v>
      </c>
      <c r="H427" s="60">
        <f t="shared" si="30"/>
        <v>109.31727600000001</v>
      </c>
      <c r="I427" s="61">
        <v>0</v>
      </c>
      <c r="J427" s="94" t="s">
        <v>122</v>
      </c>
      <c r="K427" s="94"/>
      <c r="L427" s="94"/>
      <c r="M427" s="94"/>
      <c r="N427" s="27"/>
      <c r="O427" s="27"/>
      <c r="P427" s="27"/>
      <c r="Q427" s="27"/>
      <c r="R427" s="27"/>
    </row>
    <row r="428" spans="1:18" ht="16.350000000000001" customHeight="1" x14ac:dyDescent="0.2">
      <c r="A428" s="77" t="s">
        <v>544</v>
      </c>
      <c r="B428" s="42" t="s">
        <v>547</v>
      </c>
      <c r="C428" s="42">
        <f>$O$421*0.941</f>
        <v>116.684</v>
      </c>
      <c r="D428" s="41" t="s">
        <v>1</v>
      </c>
      <c r="E428" s="41" t="s">
        <v>189</v>
      </c>
      <c r="F428" s="59">
        <v>2800</v>
      </c>
      <c r="G428" s="59">
        <v>3199</v>
      </c>
      <c r="H428" s="60">
        <f t="shared" si="30"/>
        <v>107.74133520000001</v>
      </c>
      <c r="I428" s="61">
        <v>0</v>
      </c>
      <c r="J428" s="94" t="s">
        <v>122</v>
      </c>
      <c r="K428" s="94"/>
      <c r="L428" s="94"/>
      <c r="M428" s="94"/>
      <c r="N428" s="27"/>
      <c r="O428" s="27"/>
      <c r="P428" s="27"/>
      <c r="Q428" s="27"/>
      <c r="R428" s="27"/>
    </row>
    <row r="429" spans="1:18" ht="16.350000000000001" customHeight="1" x14ac:dyDescent="0.2">
      <c r="A429" s="77" t="s">
        <v>544</v>
      </c>
      <c r="B429" s="42" t="s">
        <v>547</v>
      </c>
      <c r="C429" s="42">
        <f>$O$421*0.929</f>
        <v>115.19600000000001</v>
      </c>
      <c r="D429" s="41" t="s">
        <v>1</v>
      </c>
      <c r="E429" s="41" t="s">
        <v>189</v>
      </c>
      <c r="F429" s="59">
        <v>3200</v>
      </c>
      <c r="G429" s="59">
        <v>999999</v>
      </c>
      <c r="H429" s="60">
        <f t="shared" si="30"/>
        <v>106.39052880000001</v>
      </c>
      <c r="I429" s="61">
        <v>0</v>
      </c>
      <c r="J429" s="94" t="s">
        <v>122</v>
      </c>
      <c r="K429" s="94"/>
      <c r="L429" s="94"/>
      <c r="M429" s="94"/>
      <c r="N429" s="27"/>
      <c r="O429" s="27"/>
      <c r="P429" s="27"/>
      <c r="Q429" s="27"/>
      <c r="R429" s="27"/>
    </row>
    <row r="430" spans="1:18" ht="16.350000000000001" customHeight="1" x14ac:dyDescent="0.2">
      <c r="A430" s="81"/>
      <c r="B430" s="81"/>
      <c r="C430" s="81"/>
      <c r="D430" s="82"/>
      <c r="E430" s="82"/>
      <c r="F430" s="83"/>
      <c r="G430" s="83"/>
      <c r="H430" s="84"/>
      <c r="I430" s="85"/>
      <c r="J430" s="86"/>
      <c r="K430" s="86"/>
      <c r="L430" s="86"/>
      <c r="M430" s="86"/>
      <c r="N430" s="27"/>
      <c r="O430" s="27"/>
      <c r="P430" s="27"/>
      <c r="Q430" s="27"/>
      <c r="R430" s="27"/>
    </row>
    <row r="431" spans="1:18" ht="16.350000000000001" customHeight="1" x14ac:dyDescent="0.2">
      <c r="D431" s="27"/>
      <c r="E431" s="27"/>
      <c r="F431" s="64"/>
      <c r="G431" s="64"/>
      <c r="H431" s="65"/>
      <c r="I431" s="26"/>
      <c r="J431" s="54"/>
      <c r="K431" s="54"/>
      <c r="L431" s="54"/>
      <c r="M431" s="54"/>
      <c r="N431" s="27"/>
      <c r="O431" s="27"/>
      <c r="P431" s="27"/>
      <c r="Q431" s="27"/>
      <c r="R431" s="27"/>
    </row>
    <row r="432" spans="1:18" ht="16.350000000000001" customHeight="1" x14ac:dyDescent="0.2">
      <c r="D432" s="27"/>
      <c r="E432" s="27"/>
      <c r="F432" s="64"/>
      <c r="G432" s="64"/>
      <c r="H432" s="65"/>
      <c r="I432" s="26"/>
      <c r="J432" s="54"/>
      <c r="K432" s="54"/>
      <c r="L432" s="54"/>
      <c r="M432" s="54"/>
      <c r="N432" s="27"/>
      <c r="O432" s="27"/>
      <c r="P432" s="27"/>
      <c r="Q432" s="27"/>
      <c r="R432" s="27"/>
    </row>
    <row r="433" spans="1:18" ht="16.350000000000001" customHeight="1" x14ac:dyDescent="0.2">
      <c r="A433" s="55" t="s">
        <v>389</v>
      </c>
      <c r="B433" s="55" t="s">
        <v>390</v>
      </c>
      <c r="C433" s="55" t="s">
        <v>391</v>
      </c>
      <c r="D433" s="56" t="s">
        <v>2</v>
      </c>
      <c r="E433" s="55" t="s">
        <v>334</v>
      </c>
      <c r="F433" s="66" t="s">
        <v>333</v>
      </c>
      <c r="G433" s="66" t="s">
        <v>333</v>
      </c>
      <c r="H433" s="57" t="s">
        <v>335</v>
      </c>
      <c r="I433" s="58" t="s">
        <v>336</v>
      </c>
      <c r="J433" s="95" t="s">
        <v>0</v>
      </c>
      <c r="K433" s="95"/>
      <c r="L433" s="95"/>
      <c r="M433" s="95"/>
      <c r="N433" s="27"/>
      <c r="O433" s="27"/>
      <c r="P433" s="27"/>
      <c r="Q433" s="27"/>
      <c r="R433" s="27"/>
    </row>
    <row r="434" spans="1:18" ht="16.350000000000001" customHeight="1" x14ac:dyDescent="0.2">
      <c r="A434" s="97" t="s">
        <v>396</v>
      </c>
      <c r="B434" s="98"/>
      <c r="C434" s="99"/>
      <c r="D434" s="41" t="s">
        <v>1</v>
      </c>
      <c r="E434" s="41" t="s">
        <v>190</v>
      </c>
      <c r="F434" s="59">
        <v>0</v>
      </c>
      <c r="G434" s="59">
        <v>999</v>
      </c>
      <c r="H434" s="60">
        <f>((H420+H444)/2)</f>
        <v>149.50376639999999</v>
      </c>
      <c r="I434" s="61">
        <v>0</v>
      </c>
      <c r="J434" s="94" t="s">
        <v>121</v>
      </c>
      <c r="K434" s="94"/>
      <c r="L434" s="94"/>
      <c r="M434" s="94"/>
      <c r="N434" s="27"/>
      <c r="O434" s="27"/>
      <c r="P434" s="27"/>
      <c r="Q434" s="27"/>
      <c r="R434" s="27"/>
    </row>
    <row r="435" spans="1:18" ht="16.350000000000001" customHeight="1" x14ac:dyDescent="0.2">
      <c r="A435" s="97" t="s">
        <v>396</v>
      </c>
      <c r="B435" s="98"/>
      <c r="C435" s="99"/>
      <c r="D435" s="41" t="s">
        <v>1</v>
      </c>
      <c r="E435" s="41" t="s">
        <v>190</v>
      </c>
      <c r="F435" s="59">
        <v>1000</v>
      </c>
      <c r="G435" s="59">
        <v>1199</v>
      </c>
      <c r="H435" s="60">
        <f>((H421+H444)/2)</f>
        <v>148.20924360000001</v>
      </c>
      <c r="I435" s="61">
        <v>0</v>
      </c>
      <c r="J435" s="94" t="s">
        <v>121</v>
      </c>
      <c r="K435" s="94"/>
      <c r="L435" s="94"/>
      <c r="M435" s="94"/>
      <c r="N435" s="27"/>
      <c r="O435" s="27"/>
      <c r="P435" s="27"/>
      <c r="Q435" s="27"/>
      <c r="R435" s="27"/>
    </row>
    <row r="436" spans="1:18" ht="16.350000000000001" customHeight="1" x14ac:dyDescent="0.2">
      <c r="A436" s="97" t="s">
        <v>396</v>
      </c>
      <c r="B436" s="98"/>
      <c r="C436" s="99"/>
      <c r="D436" s="41" t="s">
        <v>1</v>
      </c>
      <c r="E436" s="41" t="s">
        <v>190</v>
      </c>
      <c r="F436" s="59">
        <v>1200</v>
      </c>
      <c r="G436" s="59">
        <v>1399</v>
      </c>
      <c r="H436" s="60">
        <f>((H422+H445)/2)</f>
        <v>138.21799680000001</v>
      </c>
      <c r="I436" s="61">
        <v>0</v>
      </c>
      <c r="J436" s="94" t="s">
        <v>121</v>
      </c>
      <c r="K436" s="94"/>
      <c r="L436" s="94"/>
      <c r="M436" s="94"/>
      <c r="N436" s="27"/>
      <c r="O436" s="27"/>
      <c r="P436" s="27"/>
      <c r="Q436" s="27"/>
      <c r="R436" s="27"/>
    </row>
    <row r="437" spans="1:18" ht="16.350000000000001" customHeight="1" x14ac:dyDescent="0.2">
      <c r="A437" s="97" t="s">
        <v>396</v>
      </c>
      <c r="B437" s="98"/>
      <c r="C437" s="99"/>
      <c r="D437" s="41" t="s">
        <v>1</v>
      </c>
      <c r="E437" s="41" t="s">
        <v>190</v>
      </c>
      <c r="F437" s="59">
        <v>1400</v>
      </c>
      <c r="G437" s="59">
        <v>1599</v>
      </c>
      <c r="H437" s="60">
        <f>((H423+((H446+H445)/2))/2)</f>
        <v>134.32898159999999</v>
      </c>
      <c r="I437" s="61">
        <v>0</v>
      </c>
      <c r="J437" s="94" t="s">
        <v>121</v>
      </c>
      <c r="K437" s="94"/>
      <c r="L437" s="94"/>
      <c r="M437" s="94"/>
      <c r="N437" s="27"/>
      <c r="O437" s="27"/>
      <c r="P437" s="27"/>
      <c r="Q437" s="27"/>
      <c r="R437" s="27"/>
    </row>
    <row r="438" spans="1:18" ht="16.350000000000001" customHeight="1" x14ac:dyDescent="0.2">
      <c r="A438" s="97" t="s">
        <v>396</v>
      </c>
      <c r="B438" s="98"/>
      <c r="C438" s="99"/>
      <c r="D438" s="41" t="s">
        <v>1</v>
      </c>
      <c r="E438" s="41" t="s">
        <v>190</v>
      </c>
      <c r="F438" s="59">
        <v>1600</v>
      </c>
      <c r="G438" s="59">
        <v>1799</v>
      </c>
      <c r="H438" s="60">
        <f t="shared" ref="H438:H443" si="31">((H424+H446)/2)</f>
        <v>130.5525336</v>
      </c>
      <c r="I438" s="61">
        <v>0</v>
      </c>
      <c r="J438" s="94" t="s">
        <v>121</v>
      </c>
      <c r="K438" s="94"/>
      <c r="L438" s="94"/>
      <c r="M438" s="94"/>
      <c r="N438" s="27"/>
      <c r="O438" s="27"/>
      <c r="P438" s="27"/>
      <c r="Q438" s="27"/>
      <c r="R438" s="27"/>
    </row>
    <row r="439" spans="1:18" ht="16.350000000000001" customHeight="1" x14ac:dyDescent="0.2">
      <c r="A439" s="97" t="s">
        <v>396</v>
      </c>
      <c r="B439" s="98"/>
      <c r="C439" s="99"/>
      <c r="D439" s="41" t="s">
        <v>1</v>
      </c>
      <c r="E439" s="41" t="s">
        <v>190</v>
      </c>
      <c r="F439" s="59">
        <v>1800</v>
      </c>
      <c r="G439" s="59">
        <v>2199</v>
      </c>
      <c r="H439" s="60">
        <f t="shared" si="31"/>
        <v>132.8438208</v>
      </c>
      <c r="I439" s="61">
        <v>0</v>
      </c>
      <c r="J439" s="94" t="s">
        <v>121</v>
      </c>
      <c r="K439" s="94"/>
      <c r="L439" s="94"/>
      <c r="M439" s="94"/>
      <c r="N439" s="27"/>
      <c r="O439" s="27"/>
      <c r="P439" s="27"/>
      <c r="Q439" s="27"/>
      <c r="R439" s="27"/>
    </row>
    <row r="440" spans="1:18" ht="16.350000000000001" customHeight="1" x14ac:dyDescent="0.2">
      <c r="A440" s="97" t="s">
        <v>396</v>
      </c>
      <c r="B440" s="98"/>
      <c r="C440" s="99"/>
      <c r="D440" s="41" t="s">
        <v>1</v>
      </c>
      <c r="E440" s="41" t="s">
        <v>190</v>
      </c>
      <c r="F440" s="59">
        <v>2000</v>
      </c>
      <c r="G440" s="59">
        <v>2399</v>
      </c>
      <c r="H440" s="60">
        <f t="shared" si="31"/>
        <v>131.50027679999999</v>
      </c>
      <c r="I440" s="61">
        <v>0</v>
      </c>
      <c r="J440" s="94" t="s">
        <v>121</v>
      </c>
      <c r="K440" s="94"/>
      <c r="L440" s="94"/>
      <c r="M440" s="94"/>
      <c r="N440" s="27"/>
      <c r="O440" s="27"/>
      <c r="P440" s="27"/>
      <c r="Q440" s="27"/>
      <c r="R440" s="27"/>
    </row>
    <row r="441" spans="1:18" ht="16.350000000000001" customHeight="1" x14ac:dyDescent="0.2">
      <c r="A441" s="97" t="s">
        <v>396</v>
      </c>
      <c r="B441" s="98"/>
      <c r="C441" s="99"/>
      <c r="D441" s="41" t="s">
        <v>1</v>
      </c>
      <c r="E441" s="41" t="s">
        <v>190</v>
      </c>
      <c r="F441" s="59">
        <v>2400</v>
      </c>
      <c r="G441" s="59">
        <v>2799</v>
      </c>
      <c r="H441" s="60">
        <f t="shared" si="31"/>
        <v>129.216252</v>
      </c>
      <c r="I441" s="61">
        <v>0</v>
      </c>
      <c r="J441" s="94" t="s">
        <v>121</v>
      </c>
      <c r="K441" s="94"/>
      <c r="L441" s="94"/>
      <c r="M441" s="94"/>
      <c r="N441" s="27"/>
      <c r="O441" s="27"/>
      <c r="P441" s="27"/>
      <c r="Q441" s="27"/>
      <c r="R441" s="27"/>
    </row>
    <row r="442" spans="1:18" ht="16.350000000000001" customHeight="1" x14ac:dyDescent="0.2">
      <c r="A442" s="97" t="s">
        <v>396</v>
      </c>
      <c r="B442" s="98"/>
      <c r="C442" s="99"/>
      <c r="D442" s="41" t="s">
        <v>1</v>
      </c>
      <c r="E442" s="41" t="s">
        <v>190</v>
      </c>
      <c r="F442" s="59">
        <v>2800</v>
      </c>
      <c r="G442" s="59">
        <v>3199</v>
      </c>
      <c r="H442" s="60">
        <f t="shared" si="31"/>
        <v>127.33529040000001</v>
      </c>
      <c r="I442" s="61">
        <v>0</v>
      </c>
      <c r="J442" s="94" t="s">
        <v>121</v>
      </c>
      <c r="K442" s="94"/>
      <c r="L442" s="94"/>
      <c r="M442" s="94"/>
      <c r="N442" s="27"/>
      <c r="O442" s="27"/>
      <c r="P442" s="27"/>
      <c r="Q442" s="27"/>
      <c r="R442" s="27"/>
    </row>
    <row r="443" spans="1:18" ht="16.350000000000001" customHeight="1" x14ac:dyDescent="0.2">
      <c r="A443" s="97" t="s">
        <v>396</v>
      </c>
      <c r="B443" s="98"/>
      <c r="C443" s="99"/>
      <c r="D443" s="41" t="s">
        <v>1</v>
      </c>
      <c r="E443" s="41" t="s">
        <v>190</v>
      </c>
      <c r="F443" s="59">
        <v>3200</v>
      </c>
      <c r="G443" s="59">
        <v>999999</v>
      </c>
      <c r="H443" s="60">
        <f t="shared" si="31"/>
        <v>125.72303760000003</v>
      </c>
      <c r="I443" s="61">
        <v>0</v>
      </c>
      <c r="J443" s="94" t="s">
        <v>121</v>
      </c>
      <c r="K443" s="94"/>
      <c r="L443" s="94"/>
      <c r="M443" s="94"/>
      <c r="N443" s="27"/>
      <c r="O443" s="27"/>
      <c r="P443" s="27"/>
      <c r="Q443" s="27"/>
      <c r="R443" s="27"/>
    </row>
    <row r="444" spans="1:18" ht="16.350000000000001" customHeight="1" x14ac:dyDescent="0.2">
      <c r="A444" s="77" t="s">
        <v>544</v>
      </c>
      <c r="B444" s="42" t="s">
        <v>548</v>
      </c>
      <c r="C444" s="42">
        <f>+$O$445*1.137</f>
        <v>195.56399999999999</v>
      </c>
      <c r="D444" s="41" t="s">
        <v>1</v>
      </c>
      <c r="E444" s="41" t="s">
        <v>191</v>
      </c>
      <c r="F444" s="59">
        <v>0</v>
      </c>
      <c r="G444" s="59">
        <v>1199</v>
      </c>
      <c r="H444" s="60">
        <f>((C444+$C$18)*($B$5*$D$5))</f>
        <v>177.53299920000001</v>
      </c>
      <c r="I444" s="61">
        <v>0</v>
      </c>
      <c r="J444" s="94" t="s">
        <v>439</v>
      </c>
      <c r="K444" s="94"/>
      <c r="L444" s="94"/>
      <c r="M444" s="94"/>
      <c r="N444" s="27"/>
      <c r="O444" s="27" t="s">
        <v>498</v>
      </c>
      <c r="P444" s="27"/>
      <c r="Q444" s="27"/>
      <c r="R444" s="27"/>
    </row>
    <row r="445" spans="1:18" ht="16.350000000000001" customHeight="1" x14ac:dyDescent="0.2">
      <c r="A445" s="77" t="s">
        <v>544</v>
      </c>
      <c r="B445" s="42" t="s">
        <v>548</v>
      </c>
      <c r="C445" s="42">
        <f>+$O$445*1.022</f>
        <v>175.78399999999999</v>
      </c>
      <c r="D445" s="41" t="s">
        <v>1</v>
      </c>
      <c r="E445" s="41" t="s">
        <v>191</v>
      </c>
      <c r="F445" s="59">
        <v>1200</v>
      </c>
      <c r="G445" s="59">
        <v>1599</v>
      </c>
      <c r="H445" s="60">
        <f t="shared" ref="H445:H453" si="32">((C445+$C$18)*($B$5*$D$5))</f>
        <v>159.5767152</v>
      </c>
      <c r="I445" s="61">
        <v>0</v>
      </c>
      <c r="J445" s="94" t="s">
        <v>439</v>
      </c>
      <c r="K445" s="94"/>
      <c r="L445" s="94"/>
      <c r="M445" s="94"/>
      <c r="N445" s="27"/>
      <c r="O445" s="27">
        <v>172</v>
      </c>
      <c r="P445" s="27"/>
      <c r="Q445" s="27"/>
      <c r="R445" s="27"/>
    </row>
    <row r="446" spans="1:18" ht="16.350000000000001" customHeight="1" x14ac:dyDescent="0.2">
      <c r="A446" s="77" t="s">
        <v>544</v>
      </c>
      <c r="B446" s="42" t="s">
        <v>548</v>
      </c>
      <c r="C446" s="42">
        <f>+$O$445*0.944</f>
        <v>162.36799999999999</v>
      </c>
      <c r="D446" s="41" t="s">
        <v>1</v>
      </c>
      <c r="E446" s="41" t="s">
        <v>191</v>
      </c>
      <c r="F446" s="59">
        <v>1600</v>
      </c>
      <c r="G446" s="59">
        <v>1799</v>
      </c>
      <c r="H446" s="60">
        <f t="shared" si="32"/>
        <v>147.39767040000001</v>
      </c>
      <c r="I446" s="61">
        <v>0</v>
      </c>
      <c r="J446" s="94" t="s">
        <v>439</v>
      </c>
      <c r="K446" s="94"/>
      <c r="L446" s="94"/>
      <c r="M446" s="94"/>
      <c r="N446" s="27"/>
      <c r="O446" s="27" t="s">
        <v>495</v>
      </c>
      <c r="P446" s="27"/>
      <c r="Q446" s="27"/>
      <c r="R446" s="27"/>
    </row>
    <row r="447" spans="1:18" ht="16.350000000000001" customHeight="1" x14ac:dyDescent="0.2">
      <c r="A447" s="77" t="s">
        <v>544</v>
      </c>
      <c r="B447" s="42" t="s">
        <v>548</v>
      </c>
      <c r="C447" s="42">
        <f>+$O$445*0.982</f>
        <v>168.904</v>
      </c>
      <c r="D447" s="41" t="s">
        <v>1</v>
      </c>
      <c r="E447" s="41" t="s">
        <v>191</v>
      </c>
      <c r="F447" s="59">
        <v>1800</v>
      </c>
      <c r="G447" s="59">
        <v>1999</v>
      </c>
      <c r="H447" s="60">
        <f t="shared" si="32"/>
        <v>153.33105120000002</v>
      </c>
      <c r="I447" s="61">
        <v>0</v>
      </c>
      <c r="J447" s="94" t="s">
        <v>439</v>
      </c>
      <c r="K447" s="94"/>
      <c r="L447" s="94"/>
      <c r="M447" s="94"/>
      <c r="N447" s="27"/>
      <c r="O447" s="27"/>
      <c r="P447" s="27"/>
      <c r="Q447" s="27"/>
      <c r="R447" s="27"/>
    </row>
    <row r="448" spans="1:18" ht="16.350000000000001" customHeight="1" x14ac:dyDescent="0.2">
      <c r="A448" s="77" t="s">
        <v>544</v>
      </c>
      <c r="B448" s="42" t="s">
        <v>548</v>
      </c>
      <c r="C448" s="42">
        <f>+$O$445*0.972</f>
        <v>167.184</v>
      </c>
      <c r="D448" s="41" t="s">
        <v>1</v>
      </c>
      <c r="E448" s="41" t="s">
        <v>191</v>
      </c>
      <c r="F448" s="59">
        <v>2000</v>
      </c>
      <c r="G448" s="59">
        <v>2399</v>
      </c>
      <c r="H448" s="60">
        <f t="shared" si="32"/>
        <v>151.76963520000001</v>
      </c>
      <c r="I448" s="61">
        <v>0</v>
      </c>
      <c r="J448" s="94" t="s">
        <v>439</v>
      </c>
      <c r="K448" s="94"/>
      <c r="L448" s="94"/>
      <c r="M448" s="94"/>
      <c r="N448" s="27"/>
      <c r="O448" s="27"/>
      <c r="P448" s="27"/>
      <c r="Q448" s="27"/>
      <c r="R448" s="27"/>
    </row>
    <row r="449" spans="1:18" ht="16.350000000000001" customHeight="1" x14ac:dyDescent="0.2">
      <c r="A449" s="77" t="s">
        <v>544</v>
      </c>
      <c r="B449" s="42" t="s">
        <v>548</v>
      </c>
      <c r="C449" s="42">
        <f>+$O$445*0.955</f>
        <v>164.26</v>
      </c>
      <c r="D449" s="41" t="s">
        <v>1</v>
      </c>
      <c r="E449" s="41" t="s">
        <v>191</v>
      </c>
      <c r="F449" s="59">
        <v>2400</v>
      </c>
      <c r="G449" s="59">
        <v>2799</v>
      </c>
      <c r="H449" s="60">
        <f t="shared" si="32"/>
        <v>149.115228</v>
      </c>
      <c r="I449" s="61">
        <v>0</v>
      </c>
      <c r="J449" s="94" t="s">
        <v>439</v>
      </c>
      <c r="K449" s="94"/>
      <c r="L449" s="94"/>
      <c r="M449" s="94"/>
      <c r="N449" s="27"/>
      <c r="O449" s="27"/>
      <c r="P449" s="27"/>
      <c r="Q449" s="27"/>
      <c r="R449" s="27"/>
    </row>
    <row r="450" spans="1:18" ht="16.350000000000001" customHeight="1" x14ac:dyDescent="0.2">
      <c r="A450" s="77" t="s">
        <v>544</v>
      </c>
      <c r="B450" s="42" t="s">
        <v>548</v>
      </c>
      <c r="C450" s="42">
        <f>+$O$445*0.941</f>
        <v>161.852</v>
      </c>
      <c r="D450" s="41" t="s">
        <v>1</v>
      </c>
      <c r="E450" s="41" t="s">
        <v>191</v>
      </c>
      <c r="F450" s="59">
        <v>2800</v>
      </c>
      <c r="G450" s="59">
        <v>3199</v>
      </c>
      <c r="H450" s="60">
        <f t="shared" si="32"/>
        <v>146.9292456</v>
      </c>
      <c r="I450" s="61">
        <v>0</v>
      </c>
      <c r="J450" s="94" t="s">
        <v>439</v>
      </c>
      <c r="K450" s="94"/>
      <c r="L450" s="94"/>
      <c r="M450" s="94"/>
      <c r="N450" s="27"/>
      <c r="O450" s="27"/>
      <c r="P450" s="27"/>
      <c r="Q450" s="27"/>
      <c r="R450" s="27"/>
    </row>
    <row r="451" spans="1:18" ht="16.350000000000001" customHeight="1" x14ac:dyDescent="0.2">
      <c r="A451" s="77" t="s">
        <v>544</v>
      </c>
      <c r="B451" s="42" t="s">
        <v>548</v>
      </c>
      <c r="C451" s="42">
        <f>+$O$445*0.929</f>
        <v>159.78800000000001</v>
      </c>
      <c r="D451" s="41" t="s">
        <v>1</v>
      </c>
      <c r="E451" s="41" t="s">
        <v>191</v>
      </c>
      <c r="F451" s="59">
        <v>3200</v>
      </c>
      <c r="G451" s="59">
        <v>3599</v>
      </c>
      <c r="H451" s="60">
        <f t="shared" si="32"/>
        <v>145.05554640000003</v>
      </c>
      <c r="I451" s="61">
        <v>0</v>
      </c>
      <c r="J451" s="94" t="s">
        <v>439</v>
      </c>
      <c r="K451" s="94"/>
      <c r="L451" s="94"/>
      <c r="M451" s="94"/>
      <c r="N451" s="27"/>
      <c r="O451" s="27"/>
      <c r="P451" s="27"/>
      <c r="Q451" s="27"/>
      <c r="R451" s="27"/>
    </row>
    <row r="452" spans="1:18" ht="16.350000000000001" customHeight="1" x14ac:dyDescent="0.2">
      <c r="A452" s="77" t="s">
        <v>544</v>
      </c>
      <c r="B452" s="42" t="s">
        <v>548</v>
      </c>
      <c r="C452" s="42">
        <f>+$O$445*0.918</f>
        <v>157.89600000000002</v>
      </c>
      <c r="D452" s="41" t="s">
        <v>1</v>
      </c>
      <c r="E452" s="41" t="s">
        <v>191</v>
      </c>
      <c r="F452" s="59">
        <v>3600</v>
      </c>
      <c r="G452" s="59">
        <v>3999</v>
      </c>
      <c r="H452" s="60">
        <f t="shared" si="32"/>
        <v>143.33798880000003</v>
      </c>
      <c r="I452" s="61">
        <v>0</v>
      </c>
      <c r="J452" s="94" t="s">
        <v>439</v>
      </c>
      <c r="K452" s="94"/>
      <c r="L452" s="94"/>
      <c r="M452" s="94"/>
      <c r="N452" s="27"/>
      <c r="O452" s="27"/>
      <c r="P452" s="27"/>
      <c r="Q452" s="27"/>
      <c r="R452" s="27"/>
    </row>
    <row r="453" spans="1:18" ht="16.350000000000001" customHeight="1" x14ac:dyDescent="0.2">
      <c r="A453" s="77" t="s">
        <v>544</v>
      </c>
      <c r="B453" s="42" t="s">
        <v>548</v>
      </c>
      <c r="C453" s="42">
        <f>+$O$445*0.909</f>
        <v>156.34800000000001</v>
      </c>
      <c r="D453" s="41" t="s">
        <v>1</v>
      </c>
      <c r="E453" s="41" t="s">
        <v>191</v>
      </c>
      <c r="F453" s="59">
        <v>4000</v>
      </c>
      <c r="G453" s="59">
        <v>999999</v>
      </c>
      <c r="H453" s="60">
        <f t="shared" si="32"/>
        <v>141.93271440000001</v>
      </c>
      <c r="I453" s="61">
        <v>0</v>
      </c>
      <c r="J453" s="94" t="s">
        <v>439</v>
      </c>
      <c r="K453" s="94"/>
      <c r="L453" s="94"/>
      <c r="M453" s="94"/>
      <c r="N453" s="27"/>
      <c r="O453" s="27"/>
      <c r="P453" s="27"/>
      <c r="Q453" s="27"/>
      <c r="R453" s="27"/>
    </row>
    <row r="454" spans="1:18" ht="16.350000000000001" customHeight="1" x14ac:dyDescent="0.2">
      <c r="A454" s="97" t="s">
        <v>397</v>
      </c>
      <c r="B454" s="98"/>
      <c r="C454" s="99"/>
      <c r="D454" s="41" t="s">
        <v>1</v>
      </c>
      <c r="E454" s="41" t="s">
        <v>192</v>
      </c>
      <c r="F454" s="59">
        <v>0</v>
      </c>
      <c r="G454" s="59">
        <v>1199</v>
      </c>
      <c r="H454" s="60">
        <f>((H444+H468)/2)</f>
        <v>186.32231880000001</v>
      </c>
      <c r="I454" s="61">
        <v>0</v>
      </c>
      <c r="J454" s="94" t="s">
        <v>120</v>
      </c>
      <c r="K454" s="94"/>
      <c r="L454" s="94"/>
      <c r="M454" s="94"/>
      <c r="N454" s="27"/>
      <c r="O454" s="27"/>
      <c r="P454" s="27"/>
      <c r="Q454" s="27"/>
      <c r="R454" s="27"/>
    </row>
    <row r="455" spans="1:18" ht="16.350000000000001" customHeight="1" x14ac:dyDescent="0.2">
      <c r="A455" s="97" t="s">
        <v>397</v>
      </c>
      <c r="B455" s="98"/>
      <c r="C455" s="99"/>
      <c r="D455" s="41" t="s">
        <v>1</v>
      </c>
      <c r="E455" s="41" t="s">
        <v>192</v>
      </c>
      <c r="F455" s="59">
        <v>1200</v>
      </c>
      <c r="G455" s="59">
        <v>1599</v>
      </c>
      <c r="H455" s="60">
        <f t="shared" ref="H455:H463" si="33">((H445+H468)/2)</f>
        <v>177.34417680000001</v>
      </c>
      <c r="I455" s="61">
        <v>0</v>
      </c>
      <c r="J455" s="94" t="s">
        <v>120</v>
      </c>
      <c r="K455" s="94"/>
      <c r="L455" s="94"/>
      <c r="M455" s="94"/>
      <c r="N455" s="27"/>
      <c r="O455" s="27"/>
      <c r="P455" s="27"/>
      <c r="Q455" s="27"/>
      <c r="R455" s="27"/>
    </row>
    <row r="456" spans="1:18" ht="16.350000000000001" customHeight="1" x14ac:dyDescent="0.2">
      <c r="A456" s="97" t="s">
        <v>397</v>
      </c>
      <c r="B456" s="98"/>
      <c r="C456" s="99"/>
      <c r="D456" s="41" t="s">
        <v>1</v>
      </c>
      <c r="E456" s="41" t="s">
        <v>192</v>
      </c>
      <c r="F456" s="59">
        <v>1600</v>
      </c>
      <c r="G456" s="59">
        <v>1799</v>
      </c>
      <c r="H456" s="60">
        <f t="shared" si="33"/>
        <v>167.77051800000001</v>
      </c>
      <c r="I456" s="61">
        <v>0</v>
      </c>
      <c r="J456" s="94" t="s">
        <v>120</v>
      </c>
      <c r="K456" s="94"/>
      <c r="L456" s="94"/>
      <c r="M456" s="94"/>
      <c r="N456" s="27"/>
      <c r="O456" s="27"/>
      <c r="P456" s="27"/>
      <c r="Q456" s="27"/>
      <c r="R456" s="27"/>
    </row>
    <row r="457" spans="1:18" ht="16.350000000000001" customHeight="1" x14ac:dyDescent="0.2">
      <c r="A457" s="97" t="s">
        <v>397</v>
      </c>
      <c r="B457" s="98"/>
      <c r="C457" s="99"/>
      <c r="D457" s="41" t="s">
        <v>1</v>
      </c>
      <c r="E457" s="41" t="s">
        <v>192</v>
      </c>
      <c r="F457" s="59">
        <v>1800</v>
      </c>
      <c r="G457" s="59">
        <v>1999</v>
      </c>
      <c r="H457" s="60">
        <f t="shared" si="33"/>
        <v>169.82033040000002</v>
      </c>
      <c r="I457" s="61">
        <v>0</v>
      </c>
      <c r="J457" s="94" t="s">
        <v>120</v>
      </c>
      <c r="K457" s="94"/>
      <c r="L457" s="94"/>
      <c r="M457" s="94"/>
      <c r="N457" s="27"/>
      <c r="O457" s="27"/>
      <c r="P457" s="27"/>
      <c r="Q457" s="27"/>
      <c r="R457" s="27"/>
    </row>
    <row r="458" spans="1:18" ht="16.350000000000001" customHeight="1" x14ac:dyDescent="0.2">
      <c r="A458" s="97" t="s">
        <v>397</v>
      </c>
      <c r="B458" s="98"/>
      <c r="C458" s="99"/>
      <c r="D458" s="41" t="s">
        <v>1</v>
      </c>
      <c r="E458" s="41" t="s">
        <v>192</v>
      </c>
      <c r="F458" s="59">
        <v>2000</v>
      </c>
      <c r="G458" s="59">
        <v>2399</v>
      </c>
      <c r="H458" s="60">
        <f t="shared" si="33"/>
        <v>168.30612000000002</v>
      </c>
      <c r="I458" s="61">
        <v>0</v>
      </c>
      <c r="J458" s="94" t="s">
        <v>120</v>
      </c>
      <c r="K458" s="94"/>
      <c r="L458" s="94"/>
      <c r="M458" s="94"/>
      <c r="N458" s="27"/>
      <c r="O458" s="27"/>
      <c r="P458" s="27"/>
      <c r="Q458" s="27"/>
      <c r="R458" s="27"/>
    </row>
    <row r="459" spans="1:18" ht="16.350000000000001" customHeight="1" x14ac:dyDescent="0.2">
      <c r="A459" s="97" t="s">
        <v>397</v>
      </c>
      <c r="B459" s="98"/>
      <c r="C459" s="99"/>
      <c r="D459" s="41" t="s">
        <v>1</v>
      </c>
      <c r="E459" s="41" t="s">
        <v>192</v>
      </c>
      <c r="F459" s="59">
        <v>2400</v>
      </c>
      <c r="G459" s="59">
        <v>2799</v>
      </c>
      <c r="H459" s="60">
        <f t="shared" si="33"/>
        <v>165.60359940000001</v>
      </c>
      <c r="I459" s="61">
        <v>0</v>
      </c>
      <c r="J459" s="94" t="s">
        <v>120</v>
      </c>
      <c r="K459" s="94"/>
      <c r="L459" s="94"/>
      <c r="M459" s="94"/>
      <c r="N459" s="27"/>
      <c r="O459" s="27"/>
      <c r="P459" s="27"/>
      <c r="Q459" s="27"/>
      <c r="R459" s="27"/>
    </row>
    <row r="460" spans="1:18" ht="16.350000000000001" customHeight="1" x14ac:dyDescent="0.2">
      <c r="A460" s="97" t="s">
        <v>397</v>
      </c>
      <c r="B460" s="98"/>
      <c r="C460" s="99"/>
      <c r="D460" s="41" t="s">
        <v>1</v>
      </c>
      <c r="E460" s="41" t="s">
        <v>192</v>
      </c>
      <c r="F460" s="59">
        <v>2800</v>
      </c>
      <c r="G460" s="59">
        <v>3199</v>
      </c>
      <c r="H460" s="60">
        <f t="shared" si="33"/>
        <v>163.50204239999999</v>
      </c>
      <c r="I460" s="61">
        <v>0</v>
      </c>
      <c r="J460" s="94" t="s">
        <v>120</v>
      </c>
      <c r="K460" s="94"/>
      <c r="L460" s="94"/>
      <c r="M460" s="94"/>
      <c r="N460" s="27"/>
      <c r="O460" s="27"/>
      <c r="P460" s="27"/>
      <c r="Q460" s="27"/>
      <c r="R460" s="27"/>
    </row>
    <row r="461" spans="1:18" ht="16.350000000000001" customHeight="1" x14ac:dyDescent="0.2">
      <c r="A461" s="97" t="s">
        <v>397</v>
      </c>
      <c r="B461" s="98"/>
      <c r="C461" s="99"/>
      <c r="D461" s="41" t="s">
        <v>1</v>
      </c>
      <c r="E461" s="41" t="s">
        <v>192</v>
      </c>
      <c r="F461" s="59">
        <v>3200</v>
      </c>
      <c r="G461" s="59">
        <v>3599</v>
      </c>
      <c r="H461" s="60">
        <f t="shared" si="33"/>
        <v>161.55662700000002</v>
      </c>
      <c r="I461" s="61">
        <v>0</v>
      </c>
      <c r="J461" s="94" t="s">
        <v>120</v>
      </c>
      <c r="K461" s="94"/>
      <c r="L461" s="94"/>
      <c r="M461" s="94"/>
      <c r="N461" s="27"/>
      <c r="O461" s="27"/>
      <c r="P461" s="27"/>
      <c r="Q461" s="27"/>
      <c r="R461" s="27"/>
    </row>
    <row r="462" spans="1:18" ht="16.350000000000001" customHeight="1" x14ac:dyDescent="0.2">
      <c r="A462" s="97" t="s">
        <v>397</v>
      </c>
      <c r="B462" s="98"/>
      <c r="C462" s="99"/>
      <c r="D462" s="41" t="s">
        <v>1</v>
      </c>
      <c r="E462" s="41" t="s">
        <v>192</v>
      </c>
      <c r="F462" s="59">
        <v>3600</v>
      </c>
      <c r="G462" s="59">
        <v>3999</v>
      </c>
      <c r="H462" s="60">
        <f t="shared" si="33"/>
        <v>159.96434580000002</v>
      </c>
      <c r="I462" s="61">
        <v>0</v>
      </c>
      <c r="J462" s="94" t="s">
        <v>120</v>
      </c>
      <c r="K462" s="94"/>
      <c r="L462" s="94"/>
      <c r="M462" s="94"/>
      <c r="N462" s="27"/>
      <c r="O462" s="27"/>
      <c r="P462" s="27"/>
      <c r="Q462" s="27"/>
      <c r="R462" s="27"/>
    </row>
    <row r="463" spans="1:18" ht="16.350000000000001" customHeight="1" x14ac:dyDescent="0.2">
      <c r="A463" s="97" t="s">
        <v>397</v>
      </c>
      <c r="B463" s="98"/>
      <c r="C463" s="99"/>
      <c r="D463" s="41" t="s">
        <v>1</v>
      </c>
      <c r="E463" s="41" t="s">
        <v>192</v>
      </c>
      <c r="F463" s="59">
        <v>4000</v>
      </c>
      <c r="G463" s="59">
        <v>999999</v>
      </c>
      <c r="H463" s="60">
        <f t="shared" si="33"/>
        <v>158.5282062</v>
      </c>
      <c r="I463" s="61">
        <v>0</v>
      </c>
      <c r="J463" s="94" t="s">
        <v>120</v>
      </c>
      <c r="K463" s="94"/>
      <c r="L463" s="94"/>
      <c r="M463" s="94"/>
      <c r="N463" s="27"/>
      <c r="O463" s="27"/>
      <c r="P463" s="27"/>
      <c r="Q463" s="27"/>
      <c r="R463" s="27"/>
    </row>
    <row r="464" spans="1:18" ht="16.350000000000001" customHeight="1" x14ac:dyDescent="0.2">
      <c r="A464" s="87"/>
      <c r="B464" s="87"/>
      <c r="C464" s="87"/>
      <c r="D464" s="82"/>
      <c r="E464" s="82"/>
      <c r="F464" s="83"/>
      <c r="G464" s="83"/>
      <c r="H464" s="84"/>
      <c r="I464" s="85"/>
      <c r="J464" s="86"/>
      <c r="K464" s="86"/>
      <c r="L464" s="86"/>
      <c r="M464" s="86"/>
      <c r="N464" s="27"/>
      <c r="O464" s="27"/>
      <c r="P464" s="27"/>
      <c r="Q464" s="27"/>
      <c r="R464" s="27"/>
    </row>
    <row r="465" spans="1:18" ht="16.350000000000001" customHeight="1" x14ac:dyDescent="0.2">
      <c r="A465" s="88"/>
      <c r="B465" s="88"/>
      <c r="C465" s="88"/>
      <c r="D465" s="27"/>
      <c r="E465" s="27"/>
      <c r="F465" s="64"/>
      <c r="G465" s="64"/>
      <c r="H465" s="65"/>
      <c r="I465" s="26"/>
      <c r="J465" s="54"/>
      <c r="K465" s="54"/>
      <c r="L465" s="54"/>
      <c r="M465" s="54"/>
      <c r="N465" s="27"/>
      <c r="O465" s="27"/>
      <c r="P465" s="27"/>
      <c r="Q465" s="27"/>
      <c r="R465" s="27"/>
    </row>
    <row r="466" spans="1:18" ht="16.350000000000001" customHeight="1" x14ac:dyDescent="0.2">
      <c r="A466" s="88"/>
      <c r="B466" s="88"/>
      <c r="C466" s="88"/>
      <c r="D466" s="27"/>
      <c r="E466" s="27"/>
      <c r="F466" s="64"/>
      <c r="G466" s="64"/>
      <c r="H466" s="65"/>
      <c r="I466" s="26"/>
      <c r="J466" s="54"/>
      <c r="K466" s="54"/>
      <c r="L466" s="54"/>
      <c r="M466" s="54"/>
      <c r="N466" s="27"/>
      <c r="O466" s="27"/>
      <c r="P466" s="27"/>
      <c r="Q466" s="27"/>
      <c r="R466" s="27"/>
    </row>
    <row r="467" spans="1:18" ht="16.350000000000001" customHeight="1" x14ac:dyDescent="0.2">
      <c r="A467" s="55" t="s">
        <v>389</v>
      </c>
      <c r="B467" s="55" t="s">
        <v>390</v>
      </c>
      <c r="C467" s="55" t="s">
        <v>391</v>
      </c>
      <c r="D467" s="56" t="s">
        <v>2</v>
      </c>
      <c r="E467" s="55" t="s">
        <v>334</v>
      </c>
      <c r="F467" s="66" t="s">
        <v>333</v>
      </c>
      <c r="G467" s="66" t="s">
        <v>333</v>
      </c>
      <c r="H467" s="57" t="s">
        <v>335</v>
      </c>
      <c r="I467" s="58" t="s">
        <v>336</v>
      </c>
      <c r="J467" s="95" t="s">
        <v>0</v>
      </c>
      <c r="K467" s="95"/>
      <c r="L467" s="95"/>
      <c r="M467" s="95"/>
      <c r="N467" s="27"/>
      <c r="O467" s="27"/>
      <c r="P467" s="27"/>
      <c r="Q467" s="27"/>
      <c r="R467" s="27"/>
    </row>
    <row r="468" spans="1:18" ht="16.350000000000001" customHeight="1" x14ac:dyDescent="0.2">
      <c r="A468" s="77" t="s">
        <v>544</v>
      </c>
      <c r="B468" s="42" t="s">
        <v>549</v>
      </c>
      <c r="C468" s="42">
        <f>+$O$469*1.064</f>
        <v>214.928</v>
      </c>
      <c r="D468" s="41" t="s">
        <v>1</v>
      </c>
      <c r="E468" s="41" t="s">
        <v>193</v>
      </c>
      <c r="F468" s="59">
        <v>0</v>
      </c>
      <c r="G468" s="59">
        <v>1599</v>
      </c>
      <c r="H468" s="60">
        <f>((C468+$C$20)*($B$5*$D$5))</f>
        <v>195.1116384</v>
      </c>
      <c r="I468" s="61">
        <v>0</v>
      </c>
      <c r="J468" s="94" t="s">
        <v>118</v>
      </c>
      <c r="K468" s="94"/>
      <c r="L468" s="94"/>
      <c r="M468" s="94"/>
      <c r="N468" s="27"/>
      <c r="O468" s="27" t="s">
        <v>498</v>
      </c>
      <c r="P468" s="27"/>
      <c r="Q468" s="27"/>
      <c r="R468" s="27"/>
    </row>
    <row r="469" spans="1:18" ht="16.350000000000001" customHeight="1" x14ac:dyDescent="0.2">
      <c r="A469" s="77" t="s">
        <v>544</v>
      </c>
      <c r="B469" s="42" t="s">
        <v>549</v>
      </c>
      <c r="C469" s="42">
        <f>+$O$469*1.026</f>
        <v>207.25200000000001</v>
      </c>
      <c r="D469" s="41" t="s">
        <v>1</v>
      </c>
      <c r="E469" s="41" t="s">
        <v>193</v>
      </c>
      <c r="F469" s="59">
        <v>1600</v>
      </c>
      <c r="G469" s="59">
        <v>1799</v>
      </c>
      <c r="H469" s="60">
        <f t="shared" ref="H469:H477" si="34">((C469+$C$20)*($B$5*$D$5))</f>
        <v>188.14336560000001</v>
      </c>
      <c r="I469" s="61">
        <v>0</v>
      </c>
      <c r="J469" s="94" t="s">
        <v>118</v>
      </c>
      <c r="K469" s="94"/>
      <c r="L469" s="94"/>
      <c r="M469" s="94"/>
      <c r="N469" s="27"/>
      <c r="O469" s="27">
        <v>202</v>
      </c>
      <c r="P469" s="27"/>
      <c r="Q469" s="27"/>
      <c r="R469" s="27"/>
    </row>
    <row r="470" spans="1:18" ht="16.350000000000001" customHeight="1" x14ac:dyDescent="0.2">
      <c r="A470" s="77" t="s">
        <v>544</v>
      </c>
      <c r="B470" s="42" t="s">
        <v>549</v>
      </c>
      <c r="C470" s="42">
        <f>+$O$469*1.016</f>
        <v>205.232</v>
      </c>
      <c r="D470" s="41" t="s">
        <v>1</v>
      </c>
      <c r="E470" s="41" t="s">
        <v>193</v>
      </c>
      <c r="F470" s="59">
        <v>1800</v>
      </c>
      <c r="G470" s="59">
        <v>1999</v>
      </c>
      <c r="H470" s="60">
        <f t="shared" si="34"/>
        <v>186.30960960000002</v>
      </c>
      <c r="I470" s="61">
        <v>0</v>
      </c>
      <c r="J470" s="94" t="s">
        <v>118</v>
      </c>
      <c r="K470" s="94"/>
      <c r="L470" s="94"/>
      <c r="M470" s="94"/>
      <c r="N470" s="27"/>
      <c r="O470" s="27" t="s">
        <v>496</v>
      </c>
      <c r="P470" s="27"/>
      <c r="Q470" s="27"/>
      <c r="R470" s="27"/>
    </row>
    <row r="471" spans="1:18" ht="16.350000000000001" customHeight="1" x14ac:dyDescent="0.2">
      <c r="A471" s="77" t="s">
        <v>544</v>
      </c>
      <c r="B471" s="42" t="s">
        <v>549</v>
      </c>
      <c r="C471" s="42">
        <f>+$O$469*1.008</f>
        <v>203.61600000000001</v>
      </c>
      <c r="D471" s="41" t="s">
        <v>1</v>
      </c>
      <c r="E471" s="41" t="s">
        <v>193</v>
      </c>
      <c r="F471" s="59">
        <v>2000</v>
      </c>
      <c r="G471" s="59">
        <v>2399</v>
      </c>
      <c r="H471" s="60">
        <f t="shared" si="34"/>
        <v>184.84260480000003</v>
      </c>
      <c r="I471" s="61">
        <v>0</v>
      </c>
      <c r="J471" s="94" t="s">
        <v>118</v>
      </c>
      <c r="K471" s="94"/>
      <c r="L471" s="94"/>
      <c r="M471" s="94"/>
      <c r="N471" s="27"/>
      <c r="O471" s="27"/>
      <c r="P471" s="27"/>
      <c r="Q471" s="27"/>
      <c r="R471" s="27"/>
    </row>
    <row r="472" spans="1:18" ht="16.350000000000001" customHeight="1" x14ac:dyDescent="0.2">
      <c r="A472" s="77" t="s">
        <v>544</v>
      </c>
      <c r="B472" s="42" t="s">
        <v>549</v>
      </c>
      <c r="C472" s="42">
        <f>+$O$469*0.993</f>
        <v>200.58600000000001</v>
      </c>
      <c r="D472" s="41" t="s">
        <v>1</v>
      </c>
      <c r="E472" s="41" t="s">
        <v>193</v>
      </c>
      <c r="F472" s="59">
        <v>2400</v>
      </c>
      <c r="G472" s="59">
        <v>2799</v>
      </c>
      <c r="H472" s="60">
        <f t="shared" si="34"/>
        <v>182.09197080000001</v>
      </c>
      <c r="I472" s="61">
        <v>0</v>
      </c>
      <c r="J472" s="94" t="s">
        <v>118</v>
      </c>
      <c r="K472" s="94"/>
      <c r="L472" s="94"/>
      <c r="M472" s="94"/>
      <c r="N472" s="27"/>
      <c r="O472" s="27"/>
      <c r="P472" s="27"/>
      <c r="Q472" s="27"/>
      <c r="R472" s="27"/>
    </row>
    <row r="473" spans="1:18" ht="16.350000000000001" customHeight="1" x14ac:dyDescent="0.2">
      <c r="A473" s="77" t="s">
        <v>544</v>
      </c>
      <c r="B473" s="42" t="s">
        <v>549</v>
      </c>
      <c r="C473" s="42">
        <f>+$O$469*0.982</f>
        <v>198.364</v>
      </c>
      <c r="D473" s="41" t="s">
        <v>1</v>
      </c>
      <c r="E473" s="41" t="s">
        <v>193</v>
      </c>
      <c r="F473" s="59">
        <v>2800</v>
      </c>
      <c r="G473" s="59">
        <v>3199</v>
      </c>
      <c r="H473" s="60">
        <f t="shared" si="34"/>
        <v>180.07483920000001</v>
      </c>
      <c r="I473" s="61">
        <v>0</v>
      </c>
      <c r="J473" s="94" t="s">
        <v>118</v>
      </c>
      <c r="K473" s="94"/>
      <c r="L473" s="94"/>
      <c r="M473" s="94"/>
      <c r="N473" s="27"/>
      <c r="O473" s="27"/>
      <c r="P473" s="27"/>
      <c r="Q473" s="27"/>
      <c r="R473" s="27"/>
    </row>
    <row r="474" spans="1:18" ht="16.350000000000001" customHeight="1" x14ac:dyDescent="0.2">
      <c r="A474" s="77" t="s">
        <v>544</v>
      </c>
      <c r="B474" s="42" t="s">
        <v>549</v>
      </c>
      <c r="C474" s="42">
        <f>+$O$469*0.971</f>
        <v>196.142</v>
      </c>
      <c r="D474" s="41" t="s">
        <v>1</v>
      </c>
      <c r="E474" s="41" t="s">
        <v>193</v>
      </c>
      <c r="F474" s="59">
        <v>3200</v>
      </c>
      <c r="G474" s="59">
        <v>3599</v>
      </c>
      <c r="H474" s="60">
        <f t="shared" si="34"/>
        <v>178.05770760000001</v>
      </c>
      <c r="I474" s="61">
        <v>0</v>
      </c>
      <c r="J474" s="94" t="s">
        <v>118</v>
      </c>
      <c r="K474" s="94"/>
      <c r="L474" s="94"/>
      <c r="M474" s="94"/>
      <c r="N474" s="27"/>
      <c r="O474" s="27"/>
      <c r="P474" s="27"/>
      <c r="Q474" s="27"/>
      <c r="R474" s="27"/>
    </row>
    <row r="475" spans="1:18" ht="16.350000000000001" customHeight="1" x14ac:dyDescent="0.2">
      <c r="A475" s="77" t="s">
        <v>544</v>
      </c>
      <c r="B475" s="42" t="s">
        <v>549</v>
      </c>
      <c r="C475" s="42">
        <f>+$O$469*0.963</f>
        <v>194.52599999999998</v>
      </c>
      <c r="D475" s="41" t="s">
        <v>1</v>
      </c>
      <c r="E475" s="41" t="s">
        <v>193</v>
      </c>
      <c r="F475" s="59">
        <v>3600</v>
      </c>
      <c r="G475" s="59">
        <v>3999</v>
      </c>
      <c r="H475" s="60">
        <f t="shared" si="34"/>
        <v>176.5907028</v>
      </c>
      <c r="I475" s="61">
        <v>0</v>
      </c>
      <c r="J475" s="94" t="s">
        <v>118</v>
      </c>
      <c r="K475" s="94"/>
      <c r="L475" s="94"/>
      <c r="M475" s="94"/>
      <c r="N475" s="27"/>
      <c r="O475" s="27"/>
      <c r="P475" s="27"/>
      <c r="Q475" s="27"/>
      <c r="R475" s="27"/>
    </row>
    <row r="476" spans="1:18" ht="16.350000000000001" customHeight="1" x14ac:dyDescent="0.2">
      <c r="A476" s="77" t="s">
        <v>544</v>
      </c>
      <c r="B476" s="42" t="s">
        <v>549</v>
      </c>
      <c r="C476" s="42">
        <f>+$O$469*0.955</f>
        <v>192.91</v>
      </c>
      <c r="D476" s="41" t="s">
        <v>1</v>
      </c>
      <c r="E476" s="41" t="s">
        <v>193</v>
      </c>
      <c r="F476" s="59">
        <v>4000</v>
      </c>
      <c r="G476" s="59">
        <v>4399</v>
      </c>
      <c r="H476" s="60">
        <f t="shared" si="34"/>
        <v>175.12369800000002</v>
      </c>
      <c r="I476" s="61">
        <v>0</v>
      </c>
      <c r="J476" s="94" t="s">
        <v>118</v>
      </c>
      <c r="K476" s="94"/>
      <c r="L476" s="94"/>
      <c r="M476" s="94"/>
      <c r="N476" s="27"/>
      <c r="O476" s="27"/>
      <c r="P476" s="27"/>
      <c r="Q476" s="27"/>
      <c r="R476" s="27"/>
    </row>
    <row r="477" spans="1:18" ht="16.350000000000001" customHeight="1" x14ac:dyDescent="0.2">
      <c r="A477" s="77" t="s">
        <v>544</v>
      </c>
      <c r="B477" s="42" t="s">
        <v>549</v>
      </c>
      <c r="C477" s="42">
        <f>+$O$469*0.947</f>
        <v>191.29399999999998</v>
      </c>
      <c r="D477" s="41" t="s">
        <v>1</v>
      </c>
      <c r="E477" s="41" t="s">
        <v>193</v>
      </c>
      <c r="F477" s="59">
        <v>4400</v>
      </c>
      <c r="G477" s="59">
        <v>999999</v>
      </c>
      <c r="H477" s="60">
        <f t="shared" si="34"/>
        <v>173.65669320000001</v>
      </c>
      <c r="I477" s="61">
        <v>0</v>
      </c>
      <c r="J477" s="94" t="s">
        <v>118</v>
      </c>
      <c r="K477" s="94"/>
      <c r="L477" s="94"/>
      <c r="M477" s="94"/>
      <c r="N477" s="27"/>
      <c r="O477" s="27"/>
      <c r="P477" s="27"/>
      <c r="Q477" s="27"/>
      <c r="R477" s="27"/>
    </row>
    <row r="478" spans="1:18" ht="16.350000000000001" customHeight="1" x14ac:dyDescent="0.2">
      <c r="A478" s="97" t="s">
        <v>398</v>
      </c>
      <c r="B478" s="98"/>
      <c r="C478" s="99"/>
      <c r="D478" s="41" t="s">
        <v>1</v>
      </c>
      <c r="E478" s="41" t="s">
        <v>194</v>
      </c>
      <c r="F478" s="59">
        <v>0</v>
      </c>
      <c r="G478" s="59">
        <v>1599</v>
      </c>
      <c r="H478" s="60">
        <f>((H468+H488)/2)</f>
        <v>213.2581065</v>
      </c>
      <c r="I478" s="61">
        <v>0</v>
      </c>
      <c r="J478" s="94" t="s">
        <v>119</v>
      </c>
      <c r="K478" s="94"/>
      <c r="L478" s="94"/>
      <c r="M478" s="94"/>
      <c r="N478" s="27"/>
      <c r="O478" s="27"/>
      <c r="P478" s="27"/>
      <c r="Q478" s="27"/>
      <c r="R478" s="27"/>
    </row>
    <row r="479" spans="1:18" ht="16.350000000000001" customHeight="1" x14ac:dyDescent="0.2">
      <c r="A479" s="97" t="s">
        <v>398</v>
      </c>
      <c r="B479" s="98"/>
      <c r="C479" s="99"/>
      <c r="D479" s="41" t="s">
        <v>1</v>
      </c>
      <c r="E479" s="41" t="s">
        <v>194</v>
      </c>
      <c r="F479" s="59">
        <v>1600</v>
      </c>
      <c r="G479" s="59">
        <v>1799</v>
      </c>
      <c r="H479" s="60">
        <f>((H469+H488)/2)</f>
        <v>209.77397009999999</v>
      </c>
      <c r="I479" s="61">
        <v>0</v>
      </c>
      <c r="J479" s="94" t="s">
        <v>119</v>
      </c>
      <c r="K479" s="94"/>
      <c r="L479" s="94"/>
      <c r="M479" s="94"/>
      <c r="N479" s="27"/>
      <c r="O479" s="27"/>
      <c r="P479" s="27"/>
      <c r="Q479" s="27"/>
      <c r="R479" s="27"/>
    </row>
    <row r="480" spans="1:18" ht="16.350000000000001" customHeight="1" x14ac:dyDescent="0.2">
      <c r="A480" s="97" t="s">
        <v>398</v>
      </c>
      <c r="B480" s="98"/>
      <c r="C480" s="99"/>
      <c r="D480" s="41" t="s">
        <v>1</v>
      </c>
      <c r="E480" s="41" t="s">
        <v>194</v>
      </c>
      <c r="F480" s="59">
        <v>1800</v>
      </c>
      <c r="G480" s="59">
        <v>1999</v>
      </c>
      <c r="H480" s="60">
        <f t="shared" ref="H480:H487" si="35">((H470+H488)/2)</f>
        <v>208.85709209999999</v>
      </c>
      <c r="I480" s="61">
        <v>0</v>
      </c>
      <c r="J480" s="94" t="s">
        <v>119</v>
      </c>
      <c r="K480" s="94"/>
      <c r="L480" s="94"/>
      <c r="M480" s="94"/>
      <c r="N480" s="27"/>
      <c r="O480" s="27"/>
      <c r="P480" s="27"/>
      <c r="Q480" s="27"/>
      <c r="R480" s="27"/>
    </row>
    <row r="481" spans="1:18" ht="16.350000000000001" customHeight="1" x14ac:dyDescent="0.2">
      <c r="A481" s="97" t="s">
        <v>398</v>
      </c>
      <c r="B481" s="98"/>
      <c r="C481" s="99"/>
      <c r="D481" s="41" t="s">
        <v>1</v>
      </c>
      <c r="E481" s="41" t="s">
        <v>194</v>
      </c>
      <c r="F481" s="59">
        <v>2000</v>
      </c>
      <c r="G481" s="59">
        <v>2399</v>
      </c>
      <c r="H481" s="60">
        <f t="shared" si="35"/>
        <v>206.35882650000002</v>
      </c>
      <c r="I481" s="61">
        <v>0</v>
      </c>
      <c r="J481" s="94" t="s">
        <v>119</v>
      </c>
      <c r="K481" s="94"/>
      <c r="L481" s="94"/>
      <c r="M481" s="94"/>
      <c r="N481" s="27"/>
      <c r="O481" s="27"/>
      <c r="P481" s="27"/>
      <c r="Q481" s="27"/>
      <c r="R481" s="27"/>
    </row>
    <row r="482" spans="1:18" ht="16.350000000000001" customHeight="1" x14ac:dyDescent="0.2">
      <c r="A482" s="97" t="s">
        <v>398</v>
      </c>
      <c r="B482" s="98"/>
      <c r="C482" s="99"/>
      <c r="D482" s="41" t="s">
        <v>1</v>
      </c>
      <c r="E482" s="41" t="s">
        <v>194</v>
      </c>
      <c r="F482" s="59">
        <v>2400</v>
      </c>
      <c r="G482" s="59">
        <v>2799</v>
      </c>
      <c r="H482" s="60">
        <f t="shared" si="35"/>
        <v>203.54963940000002</v>
      </c>
      <c r="I482" s="61">
        <v>0</v>
      </c>
      <c r="J482" s="94" t="s">
        <v>119</v>
      </c>
      <c r="K482" s="94"/>
      <c r="L482" s="94"/>
      <c r="M482" s="94"/>
      <c r="N482" s="27"/>
      <c r="O482" s="27"/>
      <c r="P482" s="27"/>
      <c r="Q482" s="27"/>
      <c r="R482" s="27"/>
    </row>
    <row r="483" spans="1:18" ht="16.350000000000001" customHeight="1" x14ac:dyDescent="0.2">
      <c r="A483" s="97" t="s">
        <v>398</v>
      </c>
      <c r="B483" s="98"/>
      <c r="C483" s="99"/>
      <c r="D483" s="41" t="s">
        <v>1</v>
      </c>
      <c r="E483" s="41" t="s">
        <v>194</v>
      </c>
      <c r="F483" s="59">
        <v>2800</v>
      </c>
      <c r="G483" s="59">
        <v>3199</v>
      </c>
      <c r="H483" s="60">
        <f t="shared" si="35"/>
        <v>201.43809660000002</v>
      </c>
      <c r="I483" s="61">
        <v>0</v>
      </c>
      <c r="J483" s="94" t="s">
        <v>119</v>
      </c>
      <c r="K483" s="94"/>
      <c r="L483" s="94"/>
      <c r="M483" s="94"/>
      <c r="N483" s="27"/>
      <c r="O483" s="27"/>
      <c r="P483" s="27"/>
      <c r="Q483" s="27"/>
      <c r="R483" s="27"/>
    </row>
    <row r="484" spans="1:18" ht="16.350000000000001" customHeight="1" x14ac:dyDescent="0.2">
      <c r="A484" s="97" t="s">
        <v>398</v>
      </c>
      <c r="B484" s="98"/>
      <c r="C484" s="99"/>
      <c r="D484" s="41" t="s">
        <v>1</v>
      </c>
      <c r="E484" s="41" t="s">
        <v>194</v>
      </c>
      <c r="F484" s="59">
        <v>3200</v>
      </c>
      <c r="G484" s="59">
        <v>3599</v>
      </c>
      <c r="H484" s="60">
        <f t="shared" si="35"/>
        <v>199.3265538</v>
      </c>
      <c r="I484" s="61">
        <v>0</v>
      </c>
      <c r="J484" s="94" t="s">
        <v>119</v>
      </c>
      <c r="K484" s="94"/>
      <c r="L484" s="94"/>
      <c r="M484" s="94"/>
      <c r="N484" s="27"/>
      <c r="O484" s="27"/>
      <c r="P484" s="27"/>
      <c r="Q484" s="27"/>
      <c r="R484" s="27"/>
    </row>
    <row r="485" spans="1:18" ht="16.350000000000001" customHeight="1" x14ac:dyDescent="0.2">
      <c r="A485" s="97" t="s">
        <v>398</v>
      </c>
      <c r="B485" s="98"/>
      <c r="C485" s="99"/>
      <c r="D485" s="41" t="s">
        <v>1</v>
      </c>
      <c r="E485" s="41" t="s">
        <v>194</v>
      </c>
      <c r="F485" s="59">
        <v>3600</v>
      </c>
      <c r="G485" s="59">
        <v>3999</v>
      </c>
      <c r="H485" s="60">
        <f t="shared" si="35"/>
        <v>197.71066980000001</v>
      </c>
      <c r="I485" s="61">
        <v>0</v>
      </c>
      <c r="J485" s="94" t="s">
        <v>119</v>
      </c>
      <c r="K485" s="94"/>
      <c r="L485" s="94"/>
      <c r="M485" s="94"/>
      <c r="N485" s="27"/>
      <c r="O485" s="27"/>
      <c r="P485" s="27"/>
      <c r="Q485" s="27"/>
      <c r="R485" s="27"/>
    </row>
    <row r="486" spans="1:18" ht="16.350000000000001" customHeight="1" x14ac:dyDescent="0.2">
      <c r="A486" s="97" t="s">
        <v>398</v>
      </c>
      <c r="B486" s="98"/>
      <c r="C486" s="99"/>
      <c r="D486" s="41" t="s">
        <v>1</v>
      </c>
      <c r="E486" s="41" t="s">
        <v>194</v>
      </c>
      <c r="F486" s="59">
        <v>4000</v>
      </c>
      <c r="G486" s="59">
        <v>4399</v>
      </c>
      <c r="H486" s="60">
        <f t="shared" si="35"/>
        <v>196.2050835</v>
      </c>
      <c r="I486" s="61">
        <v>0</v>
      </c>
      <c r="J486" s="94" t="s">
        <v>119</v>
      </c>
      <c r="K486" s="94"/>
      <c r="L486" s="94"/>
      <c r="M486" s="94"/>
      <c r="N486" s="27"/>
      <c r="O486" s="27"/>
      <c r="P486" s="27"/>
      <c r="Q486" s="27"/>
      <c r="R486" s="27"/>
    </row>
    <row r="487" spans="1:18" ht="16.350000000000001" customHeight="1" x14ac:dyDescent="0.2">
      <c r="A487" s="97" t="s">
        <v>398</v>
      </c>
      <c r="B487" s="98"/>
      <c r="C487" s="99"/>
      <c r="D487" s="41" t="s">
        <v>1</v>
      </c>
      <c r="E487" s="41" t="s">
        <v>194</v>
      </c>
      <c r="F487" s="59">
        <v>4400</v>
      </c>
      <c r="G487" s="59">
        <v>999999</v>
      </c>
      <c r="H487" s="60">
        <f t="shared" si="35"/>
        <v>194.80979489999999</v>
      </c>
      <c r="I487" s="61">
        <v>0</v>
      </c>
      <c r="J487" s="94" t="s">
        <v>119</v>
      </c>
      <c r="K487" s="94"/>
      <c r="L487" s="94"/>
      <c r="M487" s="94"/>
      <c r="N487" s="27"/>
      <c r="O487" s="27"/>
      <c r="P487" s="27"/>
      <c r="Q487" s="27"/>
      <c r="R487" s="27"/>
    </row>
    <row r="488" spans="1:18" ht="16.350000000000001" customHeight="1" x14ac:dyDescent="0.2">
      <c r="A488" s="77" t="s">
        <v>544</v>
      </c>
      <c r="B488" s="42" t="s">
        <v>550</v>
      </c>
      <c r="C488" s="43">
        <f>+$O$489*1.049</f>
        <v>254.90699999999998</v>
      </c>
      <c r="D488" s="41" t="s">
        <v>1</v>
      </c>
      <c r="E488" s="41" t="s">
        <v>195</v>
      </c>
      <c r="F488" s="59">
        <v>0</v>
      </c>
      <c r="G488" s="59">
        <v>1999</v>
      </c>
      <c r="H488" s="60">
        <f t="shared" ref="H488:H497" si="36">IF(C488="","",(C488+$C$22)*($B$5*$D$5))</f>
        <v>231.40457459999999</v>
      </c>
      <c r="I488" s="61">
        <v>0</v>
      </c>
      <c r="J488" s="94" t="s">
        <v>437</v>
      </c>
      <c r="K488" s="94"/>
      <c r="L488" s="94"/>
      <c r="M488" s="94"/>
      <c r="N488" s="27"/>
      <c r="O488" s="27" t="s">
        <v>498</v>
      </c>
      <c r="P488" s="27"/>
      <c r="Q488" s="27"/>
      <c r="R488" s="27"/>
    </row>
    <row r="489" spans="1:18" ht="16.350000000000001" customHeight="1" x14ac:dyDescent="0.2">
      <c r="A489" s="77" t="s">
        <v>544</v>
      </c>
      <c r="B489" s="42" t="s">
        <v>550</v>
      </c>
      <c r="C489" s="43">
        <f>+$O$489*1.033</f>
        <v>251.01899999999998</v>
      </c>
      <c r="D489" s="41" t="s">
        <v>1</v>
      </c>
      <c r="E489" s="41" t="s">
        <v>195</v>
      </c>
      <c r="F489" s="59">
        <v>2000</v>
      </c>
      <c r="G489" s="59">
        <v>2399</v>
      </c>
      <c r="H489" s="60">
        <f t="shared" si="36"/>
        <v>227.87504819999998</v>
      </c>
      <c r="I489" s="61">
        <v>0</v>
      </c>
      <c r="J489" s="94" t="s">
        <v>437</v>
      </c>
      <c r="K489" s="94"/>
      <c r="L489" s="94"/>
      <c r="M489" s="94"/>
      <c r="N489" s="27"/>
      <c r="O489" s="27">
        <v>243</v>
      </c>
      <c r="P489" s="27"/>
      <c r="Q489" s="27"/>
      <c r="R489" s="27"/>
    </row>
    <row r="490" spans="1:18" ht="16.350000000000001" customHeight="1" x14ac:dyDescent="0.2">
      <c r="A490" s="77" t="s">
        <v>544</v>
      </c>
      <c r="B490" s="42" t="s">
        <v>550</v>
      </c>
      <c r="C490" s="43">
        <f>+$O$489*1.02</f>
        <v>247.86</v>
      </c>
      <c r="D490" s="41" t="s">
        <v>1</v>
      </c>
      <c r="E490" s="41" t="s">
        <v>195</v>
      </c>
      <c r="F490" s="59">
        <v>2400</v>
      </c>
      <c r="G490" s="59">
        <v>2799</v>
      </c>
      <c r="H490" s="60">
        <f t="shared" si="36"/>
        <v>225.00730800000002</v>
      </c>
      <c r="I490" s="61">
        <v>0</v>
      </c>
      <c r="J490" s="94" t="s">
        <v>437</v>
      </c>
      <c r="K490" s="94"/>
      <c r="L490" s="94"/>
      <c r="M490" s="94"/>
      <c r="N490" s="27"/>
      <c r="O490" s="27" t="s">
        <v>497</v>
      </c>
      <c r="P490" s="27"/>
      <c r="Q490" s="27"/>
      <c r="R490" s="27"/>
    </row>
    <row r="491" spans="1:18" ht="16.350000000000001" customHeight="1" x14ac:dyDescent="0.2">
      <c r="A491" s="77" t="s">
        <v>544</v>
      </c>
      <c r="B491" s="42" t="s">
        <v>550</v>
      </c>
      <c r="C491" s="43">
        <f>+$O$489*1.01</f>
        <v>245.43</v>
      </c>
      <c r="D491" s="41" t="s">
        <v>1</v>
      </c>
      <c r="E491" s="41" t="s">
        <v>195</v>
      </c>
      <c r="F491" s="59">
        <v>2800</v>
      </c>
      <c r="G491" s="59">
        <v>3199</v>
      </c>
      <c r="H491" s="60">
        <f t="shared" si="36"/>
        <v>222.80135400000003</v>
      </c>
      <c r="I491" s="61">
        <v>0</v>
      </c>
      <c r="J491" s="94" t="s">
        <v>437</v>
      </c>
      <c r="K491" s="94"/>
      <c r="L491" s="94"/>
      <c r="M491" s="94"/>
      <c r="N491" s="27"/>
      <c r="O491" s="27"/>
      <c r="P491" s="27"/>
      <c r="Q491" s="27"/>
      <c r="R491" s="27"/>
    </row>
    <row r="492" spans="1:18" ht="16.350000000000001" customHeight="1" x14ac:dyDescent="0.2">
      <c r="A492" s="77" t="s">
        <v>544</v>
      </c>
      <c r="B492" s="42" t="s">
        <v>550</v>
      </c>
      <c r="C492" s="43">
        <f>+$O$489*1</f>
        <v>243</v>
      </c>
      <c r="D492" s="41" t="s">
        <v>1</v>
      </c>
      <c r="E492" s="41" t="s">
        <v>195</v>
      </c>
      <c r="F492" s="59">
        <v>3200</v>
      </c>
      <c r="G492" s="59">
        <v>3599</v>
      </c>
      <c r="H492" s="60">
        <f t="shared" si="36"/>
        <v>220.59540000000001</v>
      </c>
      <c r="I492" s="61">
        <v>0</v>
      </c>
      <c r="J492" s="94" t="s">
        <v>437</v>
      </c>
      <c r="K492" s="94"/>
      <c r="L492" s="94"/>
      <c r="M492" s="94"/>
      <c r="N492" s="27"/>
      <c r="O492" s="27"/>
      <c r="P492" s="27"/>
      <c r="Q492" s="27"/>
      <c r="R492" s="27"/>
    </row>
    <row r="493" spans="1:18" ht="16.350000000000001" customHeight="1" x14ac:dyDescent="0.2">
      <c r="A493" s="77" t="s">
        <v>544</v>
      </c>
      <c r="B493" s="42" t="s">
        <v>550</v>
      </c>
      <c r="C493" s="43">
        <f>+$O$489*0.992</f>
        <v>241.05600000000001</v>
      </c>
      <c r="D493" s="41" t="s">
        <v>1</v>
      </c>
      <c r="E493" s="41" t="s">
        <v>195</v>
      </c>
      <c r="F493" s="59">
        <v>3600</v>
      </c>
      <c r="G493" s="59">
        <v>3999</v>
      </c>
      <c r="H493" s="60">
        <f t="shared" si="36"/>
        <v>218.83063680000004</v>
      </c>
      <c r="I493" s="61">
        <v>0</v>
      </c>
      <c r="J493" s="94" t="s">
        <v>437</v>
      </c>
      <c r="K493" s="94"/>
      <c r="L493" s="94"/>
      <c r="M493" s="94"/>
      <c r="N493" s="27"/>
      <c r="O493" s="27"/>
      <c r="P493" s="27"/>
      <c r="Q493" s="27"/>
      <c r="R493" s="27"/>
    </row>
    <row r="494" spans="1:18" ht="16.350000000000001" customHeight="1" x14ac:dyDescent="0.2">
      <c r="A494" s="77" t="s">
        <v>544</v>
      </c>
      <c r="B494" s="42" t="s">
        <v>550</v>
      </c>
      <c r="C494" s="43">
        <f>+$O$489*0.985</f>
        <v>239.35499999999999</v>
      </c>
      <c r="D494" s="41" t="s">
        <v>1</v>
      </c>
      <c r="E494" s="41" t="s">
        <v>195</v>
      </c>
      <c r="F494" s="59">
        <v>4000</v>
      </c>
      <c r="G494" s="59">
        <v>4399</v>
      </c>
      <c r="H494" s="60">
        <f t="shared" si="36"/>
        <v>217.28646900000001</v>
      </c>
      <c r="I494" s="61">
        <v>0</v>
      </c>
      <c r="J494" s="94" t="s">
        <v>437</v>
      </c>
      <c r="K494" s="94"/>
      <c r="L494" s="94"/>
      <c r="M494" s="94"/>
      <c r="N494" s="27"/>
      <c r="O494" s="27"/>
      <c r="P494" s="27"/>
      <c r="Q494" s="27"/>
      <c r="R494" s="27"/>
    </row>
    <row r="495" spans="1:18" ht="16.350000000000001" customHeight="1" x14ac:dyDescent="0.2">
      <c r="A495" s="77" t="s">
        <v>544</v>
      </c>
      <c r="B495" s="42" t="s">
        <v>550</v>
      </c>
      <c r="C495" s="43">
        <f>+$O$489*0.979</f>
        <v>237.89699999999999</v>
      </c>
      <c r="D495" s="41" t="s">
        <v>1</v>
      </c>
      <c r="E495" s="41" t="s">
        <v>195</v>
      </c>
      <c r="F495" s="59">
        <v>4400</v>
      </c>
      <c r="G495" s="59">
        <v>5199</v>
      </c>
      <c r="H495" s="60">
        <f t="shared" si="36"/>
        <v>215.96289659999999</v>
      </c>
      <c r="I495" s="61">
        <v>0</v>
      </c>
      <c r="J495" s="94" t="s">
        <v>437</v>
      </c>
      <c r="K495" s="94"/>
      <c r="L495" s="94"/>
      <c r="M495" s="94"/>
      <c r="N495" s="27"/>
      <c r="O495" s="27"/>
      <c r="P495" s="27"/>
      <c r="Q495" s="27"/>
      <c r="R495" s="27"/>
    </row>
    <row r="496" spans="1:18" ht="16.350000000000001" customHeight="1" x14ac:dyDescent="0.2">
      <c r="A496" s="77" t="s">
        <v>544</v>
      </c>
      <c r="B496" s="42" t="s">
        <v>550</v>
      </c>
      <c r="C496" s="43">
        <f>+$O$489*0.968</f>
        <v>235.22399999999999</v>
      </c>
      <c r="D496" s="41" t="s">
        <v>1</v>
      </c>
      <c r="E496" s="41" t="s">
        <v>195</v>
      </c>
      <c r="F496" s="59">
        <v>5200</v>
      </c>
      <c r="G496" s="59">
        <v>5999</v>
      </c>
      <c r="H496" s="60">
        <f t="shared" si="36"/>
        <v>213.53634719999999</v>
      </c>
      <c r="I496" s="61">
        <v>0</v>
      </c>
      <c r="J496" s="94" t="s">
        <v>437</v>
      </c>
      <c r="K496" s="94"/>
      <c r="L496" s="94"/>
      <c r="M496" s="94"/>
      <c r="N496" s="27"/>
      <c r="O496" s="27"/>
      <c r="P496" s="27"/>
      <c r="Q496" s="27"/>
      <c r="R496" s="27"/>
    </row>
    <row r="497" spans="1:21" ht="16.350000000000001" customHeight="1" x14ac:dyDescent="0.2">
      <c r="A497" s="77" t="s">
        <v>544</v>
      </c>
      <c r="B497" s="42" t="s">
        <v>550</v>
      </c>
      <c r="C497" s="43">
        <f>+$O$489*0.958</f>
        <v>232.79399999999998</v>
      </c>
      <c r="D497" s="41" t="s">
        <v>1</v>
      </c>
      <c r="E497" s="41" t="s">
        <v>195</v>
      </c>
      <c r="F497" s="59">
        <v>6000</v>
      </c>
      <c r="G497" s="59">
        <v>999999</v>
      </c>
      <c r="H497" s="60">
        <f t="shared" si="36"/>
        <v>211.3303932</v>
      </c>
      <c r="I497" s="61">
        <v>0</v>
      </c>
      <c r="J497" s="94" t="s">
        <v>437</v>
      </c>
      <c r="K497" s="94"/>
      <c r="L497" s="94"/>
      <c r="M497" s="94"/>
      <c r="N497" s="27"/>
      <c r="O497" s="27"/>
      <c r="P497" s="27"/>
      <c r="Q497" s="27"/>
      <c r="R497" s="27"/>
    </row>
    <row r="498" spans="1:21" ht="16.350000000000001" customHeight="1" x14ac:dyDescent="0.2">
      <c r="A498" s="42"/>
      <c r="B498" s="42"/>
      <c r="C498" s="43"/>
      <c r="D498" s="41" t="s">
        <v>1</v>
      </c>
      <c r="E498" s="41" t="s">
        <v>76</v>
      </c>
      <c r="F498" s="59">
        <v>0</v>
      </c>
      <c r="G498" s="59">
        <v>999999</v>
      </c>
      <c r="H498" s="60">
        <v>0</v>
      </c>
      <c r="I498" s="61">
        <v>0.35</v>
      </c>
      <c r="J498" s="94" t="s">
        <v>117</v>
      </c>
      <c r="K498" s="94"/>
      <c r="L498" s="94"/>
      <c r="M498" s="94"/>
      <c r="N498" s="27"/>
      <c r="O498" s="27" t="s">
        <v>502</v>
      </c>
      <c r="P498" s="27"/>
      <c r="Q498" s="27"/>
      <c r="R498" s="27"/>
    </row>
    <row r="499" spans="1:21" ht="16.350000000000001" customHeight="1" x14ac:dyDescent="0.2">
      <c r="A499" s="81"/>
      <c r="B499" s="81"/>
      <c r="C499" s="89"/>
      <c r="D499" s="82"/>
      <c r="E499" s="82"/>
      <c r="F499" s="83"/>
      <c r="G499" s="83"/>
      <c r="H499" s="84"/>
      <c r="I499" s="85"/>
      <c r="J499" s="86"/>
      <c r="K499" s="86"/>
      <c r="L499" s="86"/>
      <c r="M499" s="86"/>
      <c r="N499" s="27"/>
      <c r="O499" s="27"/>
      <c r="P499" s="27"/>
      <c r="Q499" s="27"/>
      <c r="R499" s="27"/>
    </row>
    <row r="500" spans="1:21" ht="16.350000000000001" customHeight="1" x14ac:dyDescent="0.2">
      <c r="C500" s="45"/>
      <c r="D500" s="27"/>
      <c r="E500" s="27"/>
      <c r="F500" s="64"/>
      <c r="G500" s="64"/>
      <c r="H500" s="65"/>
      <c r="I500" s="26"/>
      <c r="J500" s="54"/>
      <c r="K500" s="54"/>
      <c r="L500" s="54"/>
      <c r="M500" s="54"/>
      <c r="N500" s="27"/>
      <c r="O500" s="27"/>
      <c r="P500" s="27"/>
      <c r="Q500" s="27"/>
      <c r="R500" s="27"/>
    </row>
    <row r="501" spans="1:21" ht="16.350000000000001" customHeight="1" x14ac:dyDescent="0.2">
      <c r="A501" s="55" t="s">
        <v>389</v>
      </c>
      <c r="B501" s="55" t="s">
        <v>390</v>
      </c>
      <c r="C501" s="55" t="s">
        <v>391</v>
      </c>
      <c r="D501" s="56" t="s">
        <v>2</v>
      </c>
      <c r="E501" s="55" t="s">
        <v>334</v>
      </c>
      <c r="F501" s="66" t="s">
        <v>333</v>
      </c>
      <c r="G501" s="66" t="s">
        <v>333</v>
      </c>
      <c r="H501" s="57" t="s">
        <v>335</v>
      </c>
      <c r="I501" s="58" t="s">
        <v>336</v>
      </c>
      <c r="J501" s="95" t="s">
        <v>0</v>
      </c>
      <c r="K501" s="95"/>
      <c r="L501" s="95"/>
      <c r="M501" s="95"/>
      <c r="N501" s="27"/>
      <c r="O501" s="27"/>
      <c r="P501" s="27"/>
      <c r="Q501" s="27"/>
      <c r="R501" s="27"/>
    </row>
    <row r="502" spans="1:21" ht="16.350000000000001" customHeight="1" x14ac:dyDescent="0.25">
      <c r="A502" s="42" t="s">
        <v>543</v>
      </c>
      <c r="B502" s="42" t="s">
        <v>554</v>
      </c>
      <c r="C502" s="42">
        <f>(9.77+0.34+0.75)</f>
        <v>10.86</v>
      </c>
      <c r="D502" s="41" t="s">
        <v>1</v>
      </c>
      <c r="E502" s="41" t="s">
        <v>89</v>
      </c>
      <c r="F502" s="59">
        <v>0</v>
      </c>
      <c r="G502" s="59">
        <v>999999</v>
      </c>
      <c r="H502" s="60">
        <f>(C502*($B$5*$L$5))</f>
        <v>9.6654</v>
      </c>
      <c r="I502" s="61">
        <v>0</v>
      </c>
      <c r="J502" s="94" t="s">
        <v>526</v>
      </c>
      <c r="K502" s="94"/>
      <c r="L502" s="94"/>
      <c r="M502" s="94"/>
      <c r="N502" s="27"/>
      <c r="O502" s="27" t="s">
        <v>530</v>
      </c>
      <c r="Q502" s="27"/>
      <c r="R502" s="27"/>
    </row>
    <row r="503" spans="1:21" ht="16.350000000000001" customHeight="1" x14ac:dyDescent="0.2">
      <c r="A503" s="42" t="s">
        <v>543</v>
      </c>
      <c r="B503" s="42" t="s">
        <v>554</v>
      </c>
      <c r="C503" s="43">
        <f>15+1.05+0.92*0.125+5.21*0.125</f>
        <v>16.81625</v>
      </c>
      <c r="D503" s="41" t="s">
        <v>1</v>
      </c>
      <c r="E503" s="41" t="s">
        <v>90</v>
      </c>
      <c r="F503" s="59">
        <v>0</v>
      </c>
      <c r="G503" s="59">
        <v>999999</v>
      </c>
      <c r="H503" s="60">
        <f>(C503*($B$5*$L$5))</f>
        <v>14.9664625</v>
      </c>
      <c r="I503" s="61">
        <v>0</v>
      </c>
      <c r="J503" s="94" t="s">
        <v>527</v>
      </c>
      <c r="K503" s="94"/>
      <c r="L503" s="94"/>
      <c r="M503" s="94"/>
      <c r="N503" s="27"/>
      <c r="O503" s="62"/>
      <c r="P503" s="27"/>
      <c r="Q503" s="27"/>
      <c r="R503" s="27"/>
    </row>
    <row r="504" spans="1:21" ht="16.350000000000001" customHeight="1" x14ac:dyDescent="0.2">
      <c r="A504" s="42" t="s">
        <v>543</v>
      </c>
      <c r="B504" s="42" t="s">
        <v>554</v>
      </c>
      <c r="C504" s="42">
        <f>15*2.127+(4.23+6.19)/2*0.5+2.12</f>
        <v>36.629999999999995</v>
      </c>
      <c r="D504" s="41" t="s">
        <v>1</v>
      </c>
      <c r="E504" s="41" t="s">
        <v>91</v>
      </c>
      <c r="F504" s="59">
        <v>0</v>
      </c>
      <c r="G504" s="59">
        <v>999999</v>
      </c>
      <c r="H504" s="60">
        <f>(C504*($B$5*$L$5))</f>
        <v>32.600699999999996</v>
      </c>
      <c r="I504" s="61">
        <v>0</v>
      </c>
      <c r="J504" s="94" t="s">
        <v>528</v>
      </c>
      <c r="K504" s="94"/>
      <c r="L504" s="94"/>
      <c r="M504" s="94"/>
      <c r="N504" s="27"/>
      <c r="O504" s="62"/>
      <c r="P504" s="27"/>
      <c r="Q504" s="27"/>
      <c r="R504" s="27"/>
    </row>
    <row r="505" spans="1:21" ht="16.350000000000001" customHeight="1" x14ac:dyDescent="0.2">
      <c r="A505" s="42" t="s">
        <v>543</v>
      </c>
      <c r="B505" s="42" t="s">
        <v>554</v>
      </c>
      <c r="C505" s="43">
        <f>15*3.16+6.19*0.5+3.68</f>
        <v>54.175000000000004</v>
      </c>
      <c r="D505" s="41" t="s">
        <v>1</v>
      </c>
      <c r="E505" s="41" t="s">
        <v>92</v>
      </c>
      <c r="F505" s="59">
        <v>0</v>
      </c>
      <c r="G505" s="59">
        <v>999999</v>
      </c>
      <c r="H505" s="60">
        <f>(C505*($B$5*$L$5))</f>
        <v>48.215750000000007</v>
      </c>
      <c r="I505" s="61">
        <v>0</v>
      </c>
      <c r="J505" s="94" t="s">
        <v>529</v>
      </c>
      <c r="K505" s="94"/>
      <c r="L505" s="94"/>
      <c r="M505" s="94"/>
      <c r="N505" s="27"/>
      <c r="O505" s="62"/>
      <c r="P505" s="27"/>
      <c r="Q505" s="27"/>
      <c r="R505" s="27"/>
    </row>
    <row r="506" spans="1:21" ht="16.350000000000001" customHeight="1" x14ac:dyDescent="0.25">
      <c r="A506" s="42" t="s">
        <v>542</v>
      </c>
      <c r="B506" s="42">
        <v>6</v>
      </c>
      <c r="C506" s="42">
        <v>103</v>
      </c>
      <c r="D506" s="41" t="s">
        <v>1</v>
      </c>
      <c r="E506" s="41" t="s">
        <v>86</v>
      </c>
      <c r="F506" s="59">
        <v>0</v>
      </c>
      <c r="G506" s="59">
        <v>449</v>
      </c>
      <c r="H506" s="60">
        <f>(C506*($B$6*$L$5))</f>
        <v>91.67</v>
      </c>
      <c r="I506" s="61">
        <v>0</v>
      </c>
      <c r="J506" s="94" t="s">
        <v>348</v>
      </c>
      <c r="K506" s="94"/>
      <c r="L506" s="94"/>
      <c r="M506" s="94"/>
      <c r="N506" s="27"/>
      <c r="O506" s="26" t="s">
        <v>506</v>
      </c>
    </row>
    <row r="507" spans="1:21" ht="16.350000000000001" customHeight="1" x14ac:dyDescent="0.2">
      <c r="A507" s="42" t="s">
        <v>542</v>
      </c>
      <c r="B507" s="42">
        <v>6</v>
      </c>
      <c r="C507" s="43">
        <v>84.22</v>
      </c>
      <c r="D507" s="41" t="s">
        <v>1</v>
      </c>
      <c r="E507" s="41" t="s">
        <v>86</v>
      </c>
      <c r="F507" s="59">
        <v>450</v>
      </c>
      <c r="G507" s="59">
        <v>649</v>
      </c>
      <c r="H507" s="60">
        <f t="shared" ref="H507:H533" si="37">(C507*($B$6*$L$5))</f>
        <v>74.955799999999996</v>
      </c>
      <c r="I507" s="61">
        <v>0</v>
      </c>
      <c r="J507" s="94" t="s">
        <v>348</v>
      </c>
      <c r="K507" s="94"/>
      <c r="L507" s="94"/>
      <c r="M507" s="94"/>
      <c r="N507" s="27"/>
      <c r="O507" s="27" t="s">
        <v>505</v>
      </c>
      <c r="P507" s="27" t="s">
        <v>503</v>
      </c>
      <c r="Q507" s="27" t="s">
        <v>504</v>
      </c>
      <c r="R507" s="27" t="s">
        <v>507</v>
      </c>
      <c r="S507" s="27" t="s">
        <v>503</v>
      </c>
      <c r="T507" s="27" t="s">
        <v>504</v>
      </c>
      <c r="U507" s="27" t="s">
        <v>507</v>
      </c>
    </row>
    <row r="508" spans="1:21" ht="16.350000000000001" customHeight="1" x14ac:dyDescent="0.2">
      <c r="A508" s="42" t="s">
        <v>542</v>
      </c>
      <c r="B508" s="42">
        <v>6</v>
      </c>
      <c r="C508" s="42">
        <v>68.62</v>
      </c>
      <c r="D508" s="41" t="s">
        <v>1</v>
      </c>
      <c r="E508" s="41" t="s">
        <v>86</v>
      </c>
      <c r="F508" s="59">
        <v>650</v>
      </c>
      <c r="G508" s="59">
        <v>799</v>
      </c>
      <c r="H508" s="60">
        <f t="shared" si="37"/>
        <v>61.071800000000003</v>
      </c>
      <c r="I508" s="61">
        <v>0</v>
      </c>
      <c r="J508" s="94" t="s">
        <v>348</v>
      </c>
      <c r="K508" s="94"/>
      <c r="L508" s="94"/>
      <c r="M508" s="94"/>
      <c r="N508" s="27"/>
      <c r="O508" s="27">
        <v>300</v>
      </c>
      <c r="P508" s="27">
        <v>30900</v>
      </c>
      <c r="Q508" s="27">
        <f>(P508+R508)/2</f>
        <v>33250</v>
      </c>
      <c r="R508" s="27">
        <v>35600</v>
      </c>
      <c r="S508" s="27">
        <f>+P508/O508</f>
        <v>103</v>
      </c>
      <c r="T508" s="27">
        <f>+Q508/O508</f>
        <v>110.83333333333333</v>
      </c>
      <c r="U508" s="27">
        <f>+R508/O508</f>
        <v>118.66666666666667</v>
      </c>
    </row>
    <row r="509" spans="1:21" ht="16.350000000000001" customHeight="1" x14ac:dyDescent="0.2">
      <c r="A509" s="42" t="s">
        <v>542</v>
      </c>
      <c r="B509" s="42">
        <v>6</v>
      </c>
      <c r="C509" s="42">
        <v>63.13</v>
      </c>
      <c r="D509" s="41" t="s">
        <v>1</v>
      </c>
      <c r="E509" s="41" t="s">
        <v>86</v>
      </c>
      <c r="F509" s="59">
        <v>800</v>
      </c>
      <c r="G509" s="59">
        <v>999999</v>
      </c>
      <c r="H509" s="60">
        <f t="shared" si="37"/>
        <v>56.185700000000004</v>
      </c>
      <c r="I509" s="61">
        <v>0</v>
      </c>
      <c r="J509" s="94" t="s">
        <v>348</v>
      </c>
      <c r="K509" s="94"/>
      <c r="L509" s="94"/>
      <c r="M509" s="94"/>
      <c r="N509" s="27"/>
      <c r="O509" s="27">
        <v>450</v>
      </c>
      <c r="P509" s="27">
        <v>37900</v>
      </c>
      <c r="Q509" s="27">
        <f t="shared" ref="Q509:Q513" si="38">(P509+R509)/2</f>
        <v>41100</v>
      </c>
      <c r="R509" s="27">
        <v>44300</v>
      </c>
      <c r="S509" s="27">
        <f t="shared" ref="S509:S513" si="39">+P509/O509</f>
        <v>84.222222222222229</v>
      </c>
      <c r="T509" s="27">
        <f t="shared" ref="T509:T513" si="40">+Q509/O509</f>
        <v>91.333333333333329</v>
      </c>
      <c r="U509" s="27">
        <f t="shared" ref="U509:U513" si="41">+R509/O509</f>
        <v>98.444444444444443</v>
      </c>
    </row>
    <row r="510" spans="1:21" ht="16.350000000000001" customHeight="1" x14ac:dyDescent="0.2">
      <c r="A510" s="42" t="s">
        <v>542</v>
      </c>
      <c r="B510" s="42">
        <v>6</v>
      </c>
      <c r="C510" s="42">
        <v>110.83</v>
      </c>
      <c r="D510" s="41" t="s">
        <v>1</v>
      </c>
      <c r="E510" s="41" t="s">
        <v>87</v>
      </c>
      <c r="F510" s="59">
        <v>0</v>
      </c>
      <c r="G510" s="59">
        <v>449</v>
      </c>
      <c r="H510" s="60">
        <f t="shared" si="37"/>
        <v>98.6387</v>
      </c>
      <c r="I510" s="61">
        <v>0</v>
      </c>
      <c r="J510" s="94" t="s">
        <v>349</v>
      </c>
      <c r="K510" s="94"/>
      <c r="L510" s="94"/>
      <c r="M510" s="94"/>
      <c r="N510" s="27"/>
      <c r="O510" s="27">
        <v>525</v>
      </c>
      <c r="P510" s="27">
        <v>40300</v>
      </c>
      <c r="Q510" s="27">
        <f t="shared" si="38"/>
        <v>43650</v>
      </c>
      <c r="R510" s="27">
        <v>47000</v>
      </c>
      <c r="S510" s="27">
        <f t="shared" si="39"/>
        <v>76.761904761904759</v>
      </c>
      <c r="T510" s="27">
        <f t="shared" si="40"/>
        <v>83.142857142857139</v>
      </c>
      <c r="U510" s="27">
        <f t="shared" si="41"/>
        <v>89.523809523809518</v>
      </c>
    </row>
    <row r="511" spans="1:21" ht="16.350000000000001" customHeight="1" x14ac:dyDescent="0.2">
      <c r="A511" s="42" t="s">
        <v>542</v>
      </c>
      <c r="B511" s="42">
        <v>6</v>
      </c>
      <c r="C511" s="42">
        <v>91.33</v>
      </c>
      <c r="D511" s="41" t="s">
        <v>1</v>
      </c>
      <c r="E511" s="41" t="s">
        <v>87</v>
      </c>
      <c r="F511" s="59">
        <v>450</v>
      </c>
      <c r="G511" s="59">
        <v>649</v>
      </c>
      <c r="H511" s="60">
        <f t="shared" si="37"/>
        <v>81.283699999999996</v>
      </c>
      <c r="I511" s="61">
        <v>0</v>
      </c>
      <c r="J511" s="94" t="s">
        <v>349</v>
      </c>
      <c r="K511" s="94"/>
      <c r="L511" s="94"/>
      <c r="M511" s="94"/>
      <c r="N511" s="27"/>
      <c r="O511" s="27">
        <v>650</v>
      </c>
      <c r="P511" s="27">
        <v>44600</v>
      </c>
      <c r="Q511" s="27">
        <f t="shared" si="38"/>
        <v>48675</v>
      </c>
      <c r="R511" s="27">
        <v>52750</v>
      </c>
      <c r="S511" s="27">
        <f t="shared" si="39"/>
        <v>68.615384615384613</v>
      </c>
      <c r="T511" s="27">
        <f t="shared" si="40"/>
        <v>74.884615384615387</v>
      </c>
      <c r="U511" s="27">
        <f t="shared" si="41"/>
        <v>81.15384615384616</v>
      </c>
    </row>
    <row r="512" spans="1:21" ht="16.350000000000001" customHeight="1" x14ac:dyDescent="0.2">
      <c r="A512" s="42" t="s">
        <v>542</v>
      </c>
      <c r="B512" s="42">
        <v>6</v>
      </c>
      <c r="C512" s="42">
        <v>74.88</v>
      </c>
      <c r="D512" s="41" t="s">
        <v>1</v>
      </c>
      <c r="E512" s="41" t="s">
        <v>87</v>
      </c>
      <c r="F512" s="59">
        <v>650</v>
      </c>
      <c r="G512" s="59">
        <v>799</v>
      </c>
      <c r="H512" s="60">
        <f t="shared" si="37"/>
        <v>66.643199999999993</v>
      </c>
      <c r="I512" s="61">
        <v>0</v>
      </c>
      <c r="J512" s="94" t="s">
        <v>349</v>
      </c>
      <c r="K512" s="94"/>
      <c r="L512" s="94"/>
      <c r="M512" s="94"/>
      <c r="N512" s="27"/>
      <c r="O512" s="27">
        <v>800</v>
      </c>
      <c r="P512" s="27">
        <v>50500</v>
      </c>
      <c r="Q512" s="27">
        <f t="shared" si="38"/>
        <v>55125</v>
      </c>
      <c r="R512" s="27">
        <v>59750</v>
      </c>
      <c r="S512" s="27">
        <f t="shared" si="39"/>
        <v>63.125</v>
      </c>
      <c r="T512" s="27">
        <f t="shared" si="40"/>
        <v>68.90625</v>
      </c>
      <c r="U512" s="27">
        <f t="shared" si="41"/>
        <v>74.6875</v>
      </c>
    </row>
    <row r="513" spans="1:21" ht="16.350000000000001" customHeight="1" x14ac:dyDescent="0.2">
      <c r="A513" s="42" t="s">
        <v>542</v>
      </c>
      <c r="B513" s="42">
        <v>6</v>
      </c>
      <c r="C513" s="43">
        <v>68.91</v>
      </c>
      <c r="D513" s="41" t="s">
        <v>1</v>
      </c>
      <c r="E513" s="41" t="s">
        <v>87</v>
      </c>
      <c r="F513" s="59">
        <v>800</v>
      </c>
      <c r="G513" s="59">
        <v>999999</v>
      </c>
      <c r="H513" s="60">
        <f t="shared" si="37"/>
        <v>61.329899999999995</v>
      </c>
      <c r="I513" s="61">
        <v>0</v>
      </c>
      <c r="J513" s="94" t="s">
        <v>349</v>
      </c>
      <c r="K513" s="94"/>
      <c r="L513" s="94"/>
      <c r="M513" s="94"/>
      <c r="N513" s="27"/>
      <c r="O513" s="27">
        <v>1000</v>
      </c>
      <c r="P513" s="27">
        <v>56750</v>
      </c>
      <c r="Q513" s="27">
        <f t="shared" si="38"/>
        <v>61750</v>
      </c>
      <c r="R513" s="27">
        <v>66750</v>
      </c>
      <c r="S513" s="27">
        <f t="shared" si="39"/>
        <v>56.75</v>
      </c>
      <c r="T513" s="27">
        <f t="shared" si="40"/>
        <v>61.75</v>
      </c>
      <c r="U513" s="27">
        <f t="shared" si="41"/>
        <v>66.75</v>
      </c>
    </row>
    <row r="514" spans="1:21" ht="16.350000000000001" customHeight="1" x14ac:dyDescent="0.2">
      <c r="A514" s="42" t="s">
        <v>542</v>
      </c>
      <c r="B514" s="42">
        <v>6</v>
      </c>
      <c r="C514" s="43">
        <v>118.67</v>
      </c>
      <c r="D514" s="41" t="s">
        <v>1</v>
      </c>
      <c r="E514" s="41" t="s">
        <v>88</v>
      </c>
      <c r="F514" s="59">
        <v>0</v>
      </c>
      <c r="G514" s="59">
        <v>449</v>
      </c>
      <c r="H514" s="60">
        <f t="shared" si="37"/>
        <v>105.61630000000001</v>
      </c>
      <c r="I514" s="61">
        <v>0</v>
      </c>
      <c r="J514" s="94" t="s">
        <v>350</v>
      </c>
      <c r="K514" s="94"/>
      <c r="L514" s="94"/>
      <c r="M514" s="94"/>
      <c r="N514" s="27"/>
      <c r="O514" s="27"/>
      <c r="P514" s="27"/>
      <c r="Q514" s="27"/>
      <c r="R514" s="27"/>
    </row>
    <row r="515" spans="1:21" ht="16.350000000000001" customHeight="1" x14ac:dyDescent="0.2">
      <c r="A515" s="42" t="s">
        <v>542</v>
      </c>
      <c r="B515" s="42">
        <v>6</v>
      </c>
      <c r="C515" s="43">
        <v>98.44</v>
      </c>
      <c r="D515" s="41" t="s">
        <v>1</v>
      </c>
      <c r="E515" s="41" t="s">
        <v>88</v>
      </c>
      <c r="F515" s="59">
        <v>450</v>
      </c>
      <c r="G515" s="59">
        <v>649</v>
      </c>
      <c r="H515" s="60">
        <f t="shared" si="37"/>
        <v>87.611599999999996</v>
      </c>
      <c r="I515" s="61">
        <v>0</v>
      </c>
      <c r="J515" s="94" t="s">
        <v>350</v>
      </c>
      <c r="K515" s="94"/>
      <c r="L515" s="94"/>
      <c r="M515" s="94"/>
      <c r="N515" s="27"/>
      <c r="O515" s="27"/>
      <c r="P515" s="27"/>
      <c r="Q515" s="27"/>
      <c r="R515" s="27"/>
    </row>
    <row r="516" spans="1:21" ht="16.350000000000001" customHeight="1" x14ac:dyDescent="0.2">
      <c r="A516" s="42" t="s">
        <v>542</v>
      </c>
      <c r="B516" s="42">
        <v>6</v>
      </c>
      <c r="C516" s="43">
        <v>81.150000000000006</v>
      </c>
      <c r="D516" s="41" t="s">
        <v>1</v>
      </c>
      <c r="E516" s="41" t="s">
        <v>88</v>
      </c>
      <c r="F516" s="59">
        <v>650</v>
      </c>
      <c r="G516" s="59">
        <v>799</v>
      </c>
      <c r="H516" s="60">
        <f t="shared" si="37"/>
        <v>72.223500000000001</v>
      </c>
      <c r="I516" s="61">
        <v>0</v>
      </c>
      <c r="J516" s="94" t="s">
        <v>350</v>
      </c>
      <c r="K516" s="94"/>
      <c r="L516" s="94"/>
      <c r="M516" s="94"/>
      <c r="N516" s="27"/>
      <c r="O516" s="27"/>
      <c r="P516" s="27"/>
      <c r="Q516" s="27"/>
      <c r="R516" s="27"/>
    </row>
    <row r="517" spans="1:21" ht="16.350000000000001" customHeight="1" x14ac:dyDescent="0.2">
      <c r="A517" s="42" t="s">
        <v>542</v>
      </c>
      <c r="B517" s="42">
        <v>6</v>
      </c>
      <c r="C517" s="43">
        <v>74.69</v>
      </c>
      <c r="D517" s="41" t="s">
        <v>1</v>
      </c>
      <c r="E517" s="41" t="s">
        <v>88</v>
      </c>
      <c r="F517" s="59">
        <v>800</v>
      </c>
      <c r="G517" s="59">
        <v>999999</v>
      </c>
      <c r="H517" s="60">
        <f t="shared" si="37"/>
        <v>66.474099999999993</v>
      </c>
      <c r="I517" s="61">
        <v>0</v>
      </c>
      <c r="J517" s="94" t="s">
        <v>350</v>
      </c>
      <c r="K517" s="94"/>
      <c r="L517" s="94"/>
      <c r="M517" s="94"/>
      <c r="N517" s="27"/>
      <c r="O517" s="27"/>
      <c r="P517" s="27"/>
      <c r="Q517" s="27"/>
      <c r="R517" s="27"/>
    </row>
    <row r="518" spans="1:21" ht="16.350000000000001" customHeight="1" x14ac:dyDescent="0.2">
      <c r="A518" s="42" t="s">
        <v>542</v>
      </c>
      <c r="B518" s="42">
        <v>6</v>
      </c>
      <c r="C518" s="43">
        <f>+C510*1.959</f>
        <v>217.11597</v>
      </c>
      <c r="D518" s="41" t="s">
        <v>1</v>
      </c>
      <c r="E518" s="41" t="s">
        <v>264</v>
      </c>
      <c r="F518" s="59">
        <v>0</v>
      </c>
      <c r="G518" s="59">
        <v>449</v>
      </c>
      <c r="H518" s="60">
        <f t="shared" si="37"/>
        <v>193.23321330000002</v>
      </c>
      <c r="I518" s="61">
        <v>0</v>
      </c>
      <c r="J518" s="94" t="s">
        <v>351</v>
      </c>
      <c r="K518" s="94"/>
      <c r="L518" s="94"/>
      <c r="M518" s="94"/>
      <c r="N518" s="27"/>
      <c r="O518" s="27"/>
      <c r="P518" s="27"/>
      <c r="Q518" s="27"/>
      <c r="R518" s="27"/>
    </row>
    <row r="519" spans="1:21" ht="16.350000000000001" customHeight="1" x14ac:dyDescent="0.2">
      <c r="A519" s="42" t="s">
        <v>542</v>
      </c>
      <c r="B519" s="42">
        <v>6</v>
      </c>
      <c r="C519" s="43">
        <f t="shared" ref="C519:C521" si="42">+C511*1.959</f>
        <v>178.91547</v>
      </c>
      <c r="D519" s="41" t="s">
        <v>1</v>
      </c>
      <c r="E519" s="41" t="s">
        <v>264</v>
      </c>
      <c r="F519" s="59">
        <v>450</v>
      </c>
      <c r="G519" s="59">
        <v>649</v>
      </c>
      <c r="H519" s="60">
        <f t="shared" si="37"/>
        <v>159.23476830000001</v>
      </c>
      <c r="I519" s="61">
        <v>0</v>
      </c>
      <c r="J519" s="94" t="s">
        <v>351</v>
      </c>
      <c r="K519" s="94"/>
      <c r="L519" s="94"/>
      <c r="M519" s="94"/>
      <c r="N519" s="27"/>
      <c r="O519" s="27"/>
      <c r="P519" s="27"/>
      <c r="Q519" s="27"/>
      <c r="R519" s="27"/>
    </row>
    <row r="520" spans="1:21" ht="16.350000000000001" customHeight="1" x14ac:dyDescent="0.2">
      <c r="A520" s="42" t="s">
        <v>542</v>
      </c>
      <c r="B520" s="42">
        <v>6</v>
      </c>
      <c r="C520" s="43">
        <f t="shared" si="42"/>
        <v>146.68992</v>
      </c>
      <c r="D520" s="41" t="s">
        <v>1</v>
      </c>
      <c r="E520" s="41" t="s">
        <v>264</v>
      </c>
      <c r="F520" s="59">
        <v>650</v>
      </c>
      <c r="G520" s="59">
        <v>799</v>
      </c>
      <c r="H520" s="60">
        <f t="shared" si="37"/>
        <v>130.5540288</v>
      </c>
      <c r="I520" s="61">
        <v>0</v>
      </c>
      <c r="J520" s="94" t="s">
        <v>351</v>
      </c>
      <c r="K520" s="94"/>
      <c r="L520" s="94"/>
      <c r="M520" s="94"/>
      <c r="N520" s="27"/>
      <c r="O520" s="27"/>
      <c r="P520" s="27"/>
      <c r="Q520" s="27"/>
      <c r="R520" s="27"/>
    </row>
    <row r="521" spans="1:21" ht="16.350000000000001" customHeight="1" x14ac:dyDescent="0.2">
      <c r="A521" s="42" t="s">
        <v>542</v>
      </c>
      <c r="B521" s="42">
        <v>6</v>
      </c>
      <c r="C521" s="43">
        <f t="shared" si="42"/>
        <v>134.99468999999999</v>
      </c>
      <c r="D521" s="41" t="s">
        <v>1</v>
      </c>
      <c r="E521" s="41" t="s">
        <v>264</v>
      </c>
      <c r="F521" s="59">
        <v>800</v>
      </c>
      <c r="G521" s="59">
        <v>999999</v>
      </c>
      <c r="H521" s="60">
        <f t="shared" si="37"/>
        <v>120.14527409999999</v>
      </c>
      <c r="I521" s="61">
        <v>0</v>
      </c>
      <c r="J521" s="94" t="s">
        <v>351</v>
      </c>
      <c r="K521" s="94"/>
      <c r="L521" s="94"/>
      <c r="M521" s="94"/>
      <c r="N521" s="27"/>
      <c r="O521" s="27"/>
      <c r="P521" s="27"/>
      <c r="Q521" s="27"/>
      <c r="R521" s="27"/>
    </row>
    <row r="522" spans="1:21" ht="16.350000000000001" hidden="1" customHeight="1" x14ac:dyDescent="0.25">
      <c r="A522" s="42" t="s">
        <v>392</v>
      </c>
      <c r="B522" s="42">
        <v>10</v>
      </c>
      <c r="C522" s="43">
        <f t="shared" ref="C522:C527" si="43">IF(C548="","",C548-O542)</f>
        <v>70.83</v>
      </c>
      <c r="D522" s="41" t="s">
        <v>1</v>
      </c>
      <c r="E522" s="41" t="s">
        <v>250</v>
      </c>
      <c r="F522" s="59">
        <v>0</v>
      </c>
      <c r="G522" s="59">
        <v>300</v>
      </c>
      <c r="H522" s="60">
        <f t="shared" si="37"/>
        <v>63.038699999999999</v>
      </c>
      <c r="I522" s="61">
        <v>0</v>
      </c>
      <c r="J522" s="94" t="s">
        <v>344</v>
      </c>
      <c r="K522" s="94"/>
      <c r="L522" s="94"/>
      <c r="M522" s="94"/>
      <c r="N522" s="27"/>
      <c r="O522" s="26" t="s">
        <v>605</v>
      </c>
    </row>
    <row r="523" spans="1:21" ht="16.350000000000001" hidden="1" customHeight="1" x14ac:dyDescent="0.2">
      <c r="A523" s="42" t="s">
        <v>392</v>
      </c>
      <c r="B523" s="42">
        <v>10</v>
      </c>
      <c r="C523" s="43">
        <f t="shared" si="43"/>
        <v>55.45</v>
      </c>
      <c r="D523" s="41" t="s">
        <v>1</v>
      </c>
      <c r="E523" s="41" t="s">
        <v>250</v>
      </c>
      <c r="F523" s="59">
        <v>301</v>
      </c>
      <c r="G523" s="59">
        <v>450</v>
      </c>
      <c r="H523" s="60">
        <f t="shared" si="37"/>
        <v>49.350500000000004</v>
      </c>
      <c r="I523" s="61">
        <v>0</v>
      </c>
      <c r="J523" s="94" t="s">
        <v>344</v>
      </c>
      <c r="K523" s="94"/>
      <c r="L523" s="94"/>
      <c r="M523" s="94"/>
      <c r="N523" s="27"/>
      <c r="O523" s="27" t="s">
        <v>505</v>
      </c>
      <c r="P523" s="27" t="s">
        <v>503</v>
      </c>
      <c r="Q523" s="27" t="s">
        <v>504</v>
      </c>
      <c r="R523" s="27" t="s">
        <v>507</v>
      </c>
      <c r="S523" s="27" t="s">
        <v>503</v>
      </c>
      <c r="T523" s="27" t="s">
        <v>504</v>
      </c>
      <c r="U523" s="27" t="s">
        <v>507</v>
      </c>
    </row>
    <row r="524" spans="1:21" ht="16.350000000000001" hidden="1" customHeight="1" x14ac:dyDescent="0.2">
      <c r="A524" s="42" t="s">
        <v>392</v>
      </c>
      <c r="B524" s="42">
        <v>10</v>
      </c>
      <c r="C524" s="43">
        <f t="shared" si="43"/>
        <v>49.389999999999993</v>
      </c>
      <c r="D524" s="41" t="s">
        <v>1</v>
      </c>
      <c r="E524" s="41" t="s">
        <v>250</v>
      </c>
      <c r="F524" s="59">
        <v>451</v>
      </c>
      <c r="G524" s="59">
        <v>525</v>
      </c>
      <c r="H524" s="60">
        <f t="shared" si="37"/>
        <v>43.957099999999997</v>
      </c>
      <c r="I524" s="61">
        <v>0</v>
      </c>
      <c r="J524" s="94" t="s">
        <v>344</v>
      </c>
      <c r="K524" s="94"/>
      <c r="L524" s="94"/>
      <c r="M524" s="94"/>
      <c r="N524" s="27"/>
      <c r="O524" s="27">
        <v>300</v>
      </c>
      <c r="P524" s="27">
        <v>25700</v>
      </c>
      <c r="Q524" s="27">
        <f>(P524+R524)/2</f>
        <v>27300</v>
      </c>
      <c r="R524" s="27">
        <v>28900</v>
      </c>
      <c r="S524" s="27">
        <f>+P524/O524</f>
        <v>85.666666666666671</v>
      </c>
      <c r="T524" s="27">
        <f>+Q524/O524</f>
        <v>91</v>
      </c>
      <c r="U524" s="27">
        <f>+R524/O524</f>
        <v>96.333333333333329</v>
      </c>
    </row>
    <row r="525" spans="1:21" ht="16.350000000000001" hidden="1" customHeight="1" x14ac:dyDescent="0.2">
      <c r="A525" s="42" t="s">
        <v>392</v>
      </c>
      <c r="B525" s="42">
        <v>10</v>
      </c>
      <c r="C525" s="43">
        <f t="shared" si="43"/>
        <v>44.35</v>
      </c>
      <c r="D525" s="41" t="s">
        <v>1</v>
      </c>
      <c r="E525" s="41" t="s">
        <v>250</v>
      </c>
      <c r="F525" s="59">
        <v>526</v>
      </c>
      <c r="G525" s="59">
        <v>650</v>
      </c>
      <c r="H525" s="60">
        <f t="shared" si="37"/>
        <v>39.471499999999999</v>
      </c>
      <c r="I525" s="61">
        <v>0</v>
      </c>
      <c r="J525" s="94" t="s">
        <v>344</v>
      </c>
      <c r="K525" s="94"/>
      <c r="L525" s="94"/>
      <c r="M525" s="94"/>
      <c r="N525" s="27"/>
      <c r="O525" s="27">
        <v>450</v>
      </c>
      <c r="P525" s="27">
        <v>28400</v>
      </c>
      <c r="Q525" s="27">
        <f t="shared" ref="Q525:Q529" si="44">(P525+R525)/2</f>
        <v>30600</v>
      </c>
      <c r="R525" s="27">
        <v>32800</v>
      </c>
      <c r="S525" s="27">
        <f t="shared" ref="S525:S529" si="45">+P525/O525</f>
        <v>63.111111111111114</v>
      </c>
      <c r="T525" s="27">
        <f t="shared" ref="T525:T529" si="46">+Q525/O525</f>
        <v>68</v>
      </c>
      <c r="U525" s="27">
        <f t="shared" ref="U525:U529" si="47">+R525/O525</f>
        <v>72.888888888888886</v>
      </c>
    </row>
    <row r="526" spans="1:21" ht="16.350000000000001" hidden="1" customHeight="1" x14ac:dyDescent="0.2">
      <c r="A526" s="42" t="s">
        <v>392</v>
      </c>
      <c r="B526" s="42">
        <v>10</v>
      </c>
      <c r="C526" s="43">
        <f t="shared" si="43"/>
        <v>40.909999999999997</v>
      </c>
      <c r="D526" s="41" t="s">
        <v>1</v>
      </c>
      <c r="E526" s="41" t="s">
        <v>250</v>
      </c>
      <c r="F526" s="59">
        <v>651</v>
      </c>
      <c r="G526" s="59">
        <v>800</v>
      </c>
      <c r="H526" s="60">
        <f t="shared" si="37"/>
        <v>36.4099</v>
      </c>
      <c r="I526" s="61">
        <v>0</v>
      </c>
      <c r="J526" s="94" t="s">
        <v>344</v>
      </c>
      <c r="K526" s="94"/>
      <c r="L526" s="94"/>
      <c r="M526" s="94"/>
      <c r="N526" s="27"/>
      <c r="O526" s="27">
        <v>525</v>
      </c>
      <c r="P526" s="27">
        <v>31200</v>
      </c>
      <c r="Q526" s="27">
        <f t="shared" si="44"/>
        <v>33150</v>
      </c>
      <c r="R526" s="27">
        <v>35100</v>
      </c>
      <c r="S526" s="27">
        <f t="shared" si="45"/>
        <v>59.428571428571431</v>
      </c>
      <c r="T526" s="27">
        <f t="shared" si="46"/>
        <v>63.142857142857146</v>
      </c>
      <c r="U526" s="27">
        <f t="shared" si="47"/>
        <v>66.857142857142861</v>
      </c>
    </row>
    <row r="527" spans="1:21" ht="16.350000000000001" hidden="1" customHeight="1" x14ac:dyDescent="0.2">
      <c r="A527" s="42" t="s">
        <v>392</v>
      </c>
      <c r="B527" s="42">
        <v>10</v>
      </c>
      <c r="C527" s="43">
        <f t="shared" si="43"/>
        <v>35.800000000000004</v>
      </c>
      <c r="D527" s="41" t="s">
        <v>1</v>
      </c>
      <c r="E527" s="41" t="s">
        <v>250</v>
      </c>
      <c r="F527" s="59">
        <v>801</v>
      </c>
      <c r="G527" s="59">
        <v>999999</v>
      </c>
      <c r="H527" s="60">
        <f t="shared" si="37"/>
        <v>31.862000000000005</v>
      </c>
      <c r="I527" s="61">
        <v>0</v>
      </c>
      <c r="J527" s="94" t="s">
        <v>344</v>
      </c>
      <c r="K527" s="94"/>
      <c r="L527" s="94"/>
      <c r="M527" s="94"/>
      <c r="N527" s="27"/>
      <c r="O527" s="27">
        <v>650</v>
      </c>
      <c r="P527" s="27">
        <v>34000</v>
      </c>
      <c r="Q527" s="27">
        <f t="shared" si="44"/>
        <v>36200</v>
      </c>
      <c r="R527" s="27">
        <v>38400</v>
      </c>
      <c r="S527" s="27">
        <f t="shared" si="45"/>
        <v>52.307692307692307</v>
      </c>
      <c r="T527" s="27">
        <f t="shared" si="46"/>
        <v>55.692307692307693</v>
      </c>
      <c r="U527" s="27">
        <f t="shared" si="47"/>
        <v>59.07692307692308</v>
      </c>
    </row>
    <row r="528" spans="1:21" ht="16.350000000000001" hidden="1" customHeight="1" x14ac:dyDescent="0.2">
      <c r="A528" s="42" t="s">
        <v>392</v>
      </c>
      <c r="B528" s="42">
        <v>10</v>
      </c>
      <c r="C528" s="43">
        <f t="shared" ref="C528:C533" si="48">IF(C554="","",C554-O542)</f>
        <v>76.83</v>
      </c>
      <c r="D528" s="41" t="s">
        <v>1</v>
      </c>
      <c r="E528" s="41" t="s">
        <v>251</v>
      </c>
      <c r="F528" s="59">
        <v>0</v>
      </c>
      <c r="G528" s="59">
        <v>300</v>
      </c>
      <c r="H528" s="60">
        <f t="shared" si="37"/>
        <v>68.378699999999995</v>
      </c>
      <c r="I528" s="61">
        <v>0</v>
      </c>
      <c r="J528" s="94" t="s">
        <v>345</v>
      </c>
      <c r="K528" s="94"/>
      <c r="L528" s="94"/>
      <c r="M528" s="94"/>
      <c r="N528" s="27"/>
      <c r="O528" s="27">
        <v>800</v>
      </c>
      <c r="P528" s="27">
        <v>37500</v>
      </c>
      <c r="Q528" s="27">
        <f t="shared" si="44"/>
        <v>39600</v>
      </c>
      <c r="R528" s="27">
        <v>41700</v>
      </c>
      <c r="S528" s="27">
        <f t="shared" si="45"/>
        <v>46.875</v>
      </c>
      <c r="T528" s="27">
        <f t="shared" si="46"/>
        <v>49.5</v>
      </c>
      <c r="U528" s="27">
        <f t="shared" si="47"/>
        <v>52.125</v>
      </c>
    </row>
    <row r="529" spans="1:21" ht="16.350000000000001" hidden="1" customHeight="1" x14ac:dyDescent="0.2">
      <c r="A529" s="42" t="s">
        <v>392</v>
      </c>
      <c r="B529" s="42">
        <v>10</v>
      </c>
      <c r="C529" s="43">
        <f t="shared" si="48"/>
        <v>59.33</v>
      </c>
      <c r="D529" s="41" t="s">
        <v>1</v>
      </c>
      <c r="E529" s="41" t="s">
        <v>251</v>
      </c>
      <c r="F529" s="59">
        <v>301</v>
      </c>
      <c r="G529" s="59">
        <v>450</v>
      </c>
      <c r="H529" s="60">
        <f t="shared" si="37"/>
        <v>52.803699999999999</v>
      </c>
      <c r="I529" s="61">
        <v>0</v>
      </c>
      <c r="J529" s="94" t="s">
        <v>345</v>
      </c>
      <c r="K529" s="94"/>
      <c r="L529" s="94"/>
      <c r="M529" s="94"/>
      <c r="N529" s="27"/>
      <c r="O529" s="27">
        <v>1000</v>
      </c>
      <c r="P529" s="27">
        <v>43800</v>
      </c>
      <c r="Q529" s="27">
        <f t="shared" si="44"/>
        <v>46200</v>
      </c>
      <c r="R529" s="27">
        <v>48600</v>
      </c>
      <c r="S529" s="27">
        <f t="shared" si="45"/>
        <v>43.8</v>
      </c>
      <c r="T529" s="27">
        <f t="shared" si="46"/>
        <v>46.2</v>
      </c>
      <c r="U529" s="27">
        <f t="shared" si="47"/>
        <v>48.6</v>
      </c>
    </row>
    <row r="530" spans="1:21" ht="16.350000000000001" hidden="1" customHeight="1" x14ac:dyDescent="0.2">
      <c r="A530" s="42" t="s">
        <v>392</v>
      </c>
      <c r="B530" s="42">
        <v>10</v>
      </c>
      <c r="C530" s="43">
        <f t="shared" si="48"/>
        <v>52.720000000000006</v>
      </c>
      <c r="D530" s="41" t="s">
        <v>1</v>
      </c>
      <c r="E530" s="41" t="s">
        <v>251</v>
      </c>
      <c r="F530" s="59">
        <v>451</v>
      </c>
      <c r="G530" s="59">
        <v>525</v>
      </c>
      <c r="H530" s="60">
        <f t="shared" si="37"/>
        <v>46.920800000000007</v>
      </c>
      <c r="I530" s="61">
        <v>0</v>
      </c>
      <c r="J530" s="94" t="s">
        <v>345</v>
      </c>
      <c r="K530" s="94"/>
      <c r="L530" s="94"/>
      <c r="M530" s="94"/>
      <c r="N530" s="27"/>
      <c r="O530" s="27"/>
      <c r="P530" s="27"/>
      <c r="Q530" s="27"/>
      <c r="R530" s="27"/>
    </row>
    <row r="531" spans="1:21" ht="16.350000000000001" hidden="1" customHeight="1" x14ac:dyDescent="0.2">
      <c r="A531" s="42" t="s">
        <v>392</v>
      </c>
      <c r="B531" s="42">
        <v>10</v>
      </c>
      <c r="C531" s="43">
        <f t="shared" si="48"/>
        <v>47.35</v>
      </c>
      <c r="D531" s="41" t="s">
        <v>1</v>
      </c>
      <c r="E531" s="41" t="s">
        <v>251</v>
      </c>
      <c r="F531" s="59">
        <v>526</v>
      </c>
      <c r="G531" s="59">
        <v>650</v>
      </c>
      <c r="H531" s="60">
        <f t="shared" si="37"/>
        <v>42.141500000000001</v>
      </c>
      <c r="I531" s="61">
        <v>0</v>
      </c>
      <c r="J531" s="94" t="s">
        <v>345</v>
      </c>
      <c r="K531" s="94"/>
      <c r="L531" s="94"/>
      <c r="M531" s="94"/>
      <c r="N531" s="27"/>
      <c r="O531" s="27"/>
      <c r="P531" s="27"/>
      <c r="Q531" s="27"/>
      <c r="R531" s="27"/>
    </row>
    <row r="532" spans="1:21" ht="16.350000000000001" hidden="1" customHeight="1" x14ac:dyDescent="0.2">
      <c r="A532" s="42" t="s">
        <v>392</v>
      </c>
      <c r="B532" s="42">
        <v>10</v>
      </c>
      <c r="C532" s="43">
        <f t="shared" si="48"/>
        <v>45.44</v>
      </c>
      <c r="D532" s="41" t="s">
        <v>1</v>
      </c>
      <c r="E532" s="41" t="s">
        <v>251</v>
      </c>
      <c r="F532" s="59">
        <v>651</v>
      </c>
      <c r="G532" s="59">
        <v>800</v>
      </c>
      <c r="H532" s="60">
        <f t="shared" si="37"/>
        <v>40.441600000000001</v>
      </c>
      <c r="I532" s="61">
        <v>0</v>
      </c>
      <c r="J532" s="94" t="s">
        <v>345</v>
      </c>
      <c r="K532" s="94"/>
      <c r="L532" s="94"/>
      <c r="M532" s="94"/>
      <c r="N532" s="27"/>
      <c r="O532" s="27"/>
      <c r="P532" s="27"/>
      <c r="Q532" s="27"/>
      <c r="R532" s="27"/>
    </row>
    <row r="533" spans="1:21" ht="16.350000000000001" hidden="1" customHeight="1" x14ac:dyDescent="0.2">
      <c r="A533" s="42" t="s">
        <v>392</v>
      </c>
      <c r="B533" s="42">
        <v>10</v>
      </c>
      <c r="C533" s="43">
        <f t="shared" si="48"/>
        <v>39.67</v>
      </c>
      <c r="D533" s="41" t="s">
        <v>1</v>
      </c>
      <c r="E533" s="41" t="s">
        <v>251</v>
      </c>
      <c r="F533" s="59">
        <v>801</v>
      </c>
      <c r="G533" s="59">
        <v>999999</v>
      </c>
      <c r="H533" s="60">
        <f t="shared" si="37"/>
        <v>35.3063</v>
      </c>
      <c r="I533" s="61">
        <v>0</v>
      </c>
      <c r="J533" s="94" t="s">
        <v>345</v>
      </c>
      <c r="K533" s="94"/>
      <c r="L533" s="94"/>
      <c r="M533" s="94"/>
      <c r="N533" s="27"/>
      <c r="O533" s="27"/>
      <c r="P533" s="27"/>
      <c r="Q533" s="27"/>
      <c r="R533" s="27"/>
    </row>
    <row r="534" spans="1:21" ht="16.350000000000001" hidden="1" customHeight="1" x14ac:dyDescent="0.2">
      <c r="A534" s="81"/>
      <c r="B534" s="81"/>
      <c r="C534" s="89"/>
      <c r="D534" s="82"/>
      <c r="E534" s="82"/>
      <c r="F534" s="83"/>
      <c r="G534" s="83"/>
      <c r="H534" s="84"/>
      <c r="I534" s="85"/>
      <c r="J534" s="86"/>
      <c r="K534" s="86"/>
      <c r="L534" s="86"/>
      <c r="M534" s="86"/>
      <c r="N534" s="27"/>
      <c r="O534" s="27"/>
      <c r="P534" s="27"/>
      <c r="Q534" s="27"/>
      <c r="R534" s="27"/>
    </row>
    <row r="535" spans="1:21" ht="16.350000000000001" hidden="1" customHeight="1" x14ac:dyDescent="0.2">
      <c r="A535" s="48" t="s">
        <v>389</v>
      </c>
      <c r="B535" s="48" t="s">
        <v>390</v>
      </c>
      <c r="C535" s="48" t="s">
        <v>391</v>
      </c>
      <c r="D535" s="90" t="s">
        <v>2</v>
      </c>
      <c r="E535" s="48" t="s">
        <v>334</v>
      </c>
      <c r="F535" s="91" t="s">
        <v>333</v>
      </c>
      <c r="G535" s="91" t="s">
        <v>333</v>
      </c>
      <c r="H535" s="60" t="s">
        <v>335</v>
      </c>
      <c r="I535" s="92" t="s">
        <v>336</v>
      </c>
      <c r="J535" s="100" t="s">
        <v>0</v>
      </c>
      <c r="K535" s="100"/>
      <c r="L535" s="100"/>
      <c r="M535" s="100"/>
      <c r="N535" s="27"/>
      <c r="O535" s="27"/>
      <c r="P535" s="27"/>
      <c r="Q535" s="27"/>
      <c r="R535" s="27"/>
    </row>
    <row r="536" spans="1:21" ht="16.350000000000001" hidden="1" customHeight="1" x14ac:dyDescent="0.2">
      <c r="A536" s="42" t="s">
        <v>392</v>
      </c>
      <c r="B536" s="42">
        <v>10</v>
      </c>
      <c r="C536" s="43">
        <f t="shared" ref="C536:C541" si="49">IF(C560="","",C560-O542)</f>
        <v>83.5</v>
      </c>
      <c r="D536" s="41" t="s">
        <v>1</v>
      </c>
      <c r="E536" s="41" t="s">
        <v>252</v>
      </c>
      <c r="F536" s="59">
        <v>0</v>
      </c>
      <c r="G536" s="59">
        <v>300</v>
      </c>
      <c r="H536" s="60">
        <f t="shared" ref="H536:H546" si="50">IF(C536="","",C536*($B$5*$L$5))</f>
        <v>74.314999999999998</v>
      </c>
      <c r="I536" s="61">
        <v>0</v>
      </c>
      <c r="J536" s="94" t="s">
        <v>346</v>
      </c>
      <c r="K536" s="94"/>
      <c r="L536" s="94"/>
      <c r="M536" s="94"/>
      <c r="N536" s="27"/>
      <c r="O536" s="27"/>
      <c r="P536" s="27"/>
      <c r="Q536" s="27"/>
      <c r="R536" s="27"/>
    </row>
    <row r="537" spans="1:21" ht="16.350000000000001" hidden="1" customHeight="1" x14ac:dyDescent="0.2">
      <c r="A537" s="42" t="s">
        <v>392</v>
      </c>
      <c r="B537" s="42">
        <v>10</v>
      </c>
      <c r="C537" s="43">
        <f t="shared" si="49"/>
        <v>63.67</v>
      </c>
      <c r="D537" s="41" t="s">
        <v>1</v>
      </c>
      <c r="E537" s="41" t="s">
        <v>252</v>
      </c>
      <c r="F537" s="59">
        <v>301</v>
      </c>
      <c r="G537" s="59">
        <v>450</v>
      </c>
      <c r="H537" s="60">
        <f t="shared" si="50"/>
        <v>56.6663</v>
      </c>
      <c r="I537" s="61">
        <v>0</v>
      </c>
      <c r="J537" s="94" t="s">
        <v>346</v>
      </c>
      <c r="K537" s="94"/>
      <c r="L537" s="94"/>
      <c r="M537" s="94"/>
      <c r="N537" s="27"/>
      <c r="O537" s="27"/>
      <c r="P537" s="27"/>
      <c r="Q537" s="27"/>
      <c r="R537" s="27"/>
    </row>
    <row r="538" spans="1:21" ht="16.350000000000001" hidden="1" customHeight="1" x14ac:dyDescent="0.2">
      <c r="A538" s="42" t="s">
        <v>392</v>
      </c>
      <c r="B538" s="42">
        <v>10</v>
      </c>
      <c r="C538" s="43">
        <f t="shared" si="49"/>
        <v>56.62</v>
      </c>
      <c r="D538" s="41" t="s">
        <v>1</v>
      </c>
      <c r="E538" s="41" t="s">
        <v>252</v>
      </c>
      <c r="F538" s="59">
        <v>451</v>
      </c>
      <c r="G538" s="59">
        <v>525</v>
      </c>
      <c r="H538" s="60">
        <f t="shared" si="50"/>
        <v>50.391799999999996</v>
      </c>
      <c r="I538" s="61">
        <v>0</v>
      </c>
      <c r="J538" s="94" t="s">
        <v>346</v>
      </c>
      <c r="K538" s="94"/>
      <c r="L538" s="94"/>
      <c r="M538" s="94"/>
      <c r="N538" s="27"/>
      <c r="O538" s="27"/>
      <c r="P538" s="27"/>
      <c r="Q538" s="27"/>
      <c r="R538" s="27"/>
    </row>
    <row r="539" spans="1:21" ht="16.350000000000001" hidden="1" customHeight="1" x14ac:dyDescent="0.2">
      <c r="A539" s="42" t="s">
        <v>392</v>
      </c>
      <c r="B539" s="42">
        <v>10</v>
      </c>
      <c r="C539" s="43">
        <f t="shared" si="49"/>
        <v>50.24</v>
      </c>
      <c r="D539" s="41" t="s">
        <v>1</v>
      </c>
      <c r="E539" s="41" t="s">
        <v>252</v>
      </c>
      <c r="F539" s="59">
        <v>526</v>
      </c>
      <c r="G539" s="59">
        <v>650</v>
      </c>
      <c r="H539" s="60">
        <f t="shared" si="50"/>
        <v>44.7136</v>
      </c>
      <c r="I539" s="61">
        <v>0</v>
      </c>
      <c r="J539" s="94" t="s">
        <v>346</v>
      </c>
      <c r="K539" s="94"/>
      <c r="L539" s="94"/>
      <c r="M539" s="94"/>
      <c r="N539" s="27"/>
      <c r="O539" s="27"/>
      <c r="P539" s="27"/>
      <c r="Q539" s="27"/>
      <c r="R539" s="27"/>
    </row>
    <row r="540" spans="1:21" ht="16.350000000000001" hidden="1" customHeight="1" x14ac:dyDescent="0.2">
      <c r="A540" s="42" t="s">
        <v>392</v>
      </c>
      <c r="B540" s="42">
        <v>10</v>
      </c>
      <c r="C540" s="43">
        <f t="shared" si="49"/>
        <v>47.5</v>
      </c>
      <c r="D540" s="41" t="s">
        <v>1</v>
      </c>
      <c r="E540" s="41" t="s">
        <v>252</v>
      </c>
      <c r="F540" s="59">
        <v>651</v>
      </c>
      <c r="G540" s="59">
        <v>800</v>
      </c>
      <c r="H540" s="60">
        <f t="shared" si="50"/>
        <v>42.274999999999999</v>
      </c>
      <c r="I540" s="61">
        <v>0</v>
      </c>
      <c r="J540" s="94" t="s">
        <v>346</v>
      </c>
      <c r="K540" s="94"/>
      <c r="L540" s="94"/>
      <c r="M540" s="94"/>
      <c r="N540" s="27"/>
      <c r="O540" s="27"/>
      <c r="P540" s="27"/>
      <c r="Q540" s="27"/>
      <c r="R540" s="27"/>
    </row>
    <row r="541" spans="1:21" ht="16.350000000000001" hidden="1" customHeight="1" x14ac:dyDescent="0.2">
      <c r="A541" s="42" t="s">
        <v>392</v>
      </c>
      <c r="B541" s="42">
        <v>10</v>
      </c>
      <c r="C541" s="43">
        <f t="shared" si="49"/>
        <v>41.17</v>
      </c>
      <c r="D541" s="41" t="s">
        <v>1</v>
      </c>
      <c r="E541" s="41" t="s">
        <v>252</v>
      </c>
      <c r="F541" s="59">
        <v>801</v>
      </c>
      <c r="G541" s="59">
        <v>999999</v>
      </c>
      <c r="H541" s="60">
        <f t="shared" si="50"/>
        <v>36.641300000000001</v>
      </c>
      <c r="I541" s="61">
        <v>0</v>
      </c>
      <c r="J541" s="94" t="s">
        <v>346</v>
      </c>
      <c r="K541" s="94"/>
      <c r="L541" s="94"/>
      <c r="M541" s="94"/>
      <c r="N541" s="27"/>
      <c r="O541" s="27"/>
      <c r="P541" s="27"/>
      <c r="Q541" s="27"/>
      <c r="R541" s="27"/>
    </row>
    <row r="542" spans="1:21" ht="16.350000000000001" hidden="1" customHeight="1" x14ac:dyDescent="0.2">
      <c r="A542" s="42" t="s">
        <v>392</v>
      </c>
      <c r="B542" s="42">
        <v>10</v>
      </c>
      <c r="C542" s="42">
        <v>91.33</v>
      </c>
      <c r="D542" s="41" t="s">
        <v>1</v>
      </c>
      <c r="E542" s="41" t="s">
        <v>253</v>
      </c>
      <c r="F542" s="59">
        <v>0</v>
      </c>
      <c r="G542" s="59">
        <v>300</v>
      </c>
      <c r="H542" s="60">
        <f t="shared" si="50"/>
        <v>81.283699999999996</v>
      </c>
      <c r="I542" s="61">
        <v>0</v>
      </c>
      <c r="J542" s="94" t="s">
        <v>337</v>
      </c>
      <c r="K542" s="94"/>
      <c r="L542" s="94"/>
      <c r="M542" s="94"/>
      <c r="N542" s="27"/>
      <c r="O542" s="27">
        <f t="shared" ref="O542:O547" si="51">IF(C542="","",C570-C542)</f>
        <v>27.67</v>
      </c>
      <c r="P542" s="27"/>
      <c r="Q542" s="27"/>
      <c r="R542" s="27"/>
    </row>
    <row r="543" spans="1:21" ht="16.350000000000001" hidden="1" customHeight="1" x14ac:dyDescent="0.2">
      <c r="A543" s="42" t="s">
        <v>392</v>
      </c>
      <c r="B543" s="42">
        <v>10</v>
      </c>
      <c r="C543" s="42">
        <v>68.22</v>
      </c>
      <c r="D543" s="41" t="s">
        <v>1</v>
      </c>
      <c r="E543" s="41" t="s">
        <v>253</v>
      </c>
      <c r="F543" s="59">
        <v>301</v>
      </c>
      <c r="G543" s="59">
        <v>450</v>
      </c>
      <c r="H543" s="60">
        <f t="shared" si="50"/>
        <v>60.715800000000002</v>
      </c>
      <c r="I543" s="61">
        <v>0</v>
      </c>
      <c r="J543" s="94" t="s">
        <v>337</v>
      </c>
      <c r="K543" s="94"/>
      <c r="L543" s="94"/>
      <c r="M543" s="94"/>
      <c r="N543" s="27"/>
      <c r="O543" s="27">
        <f t="shared" si="51"/>
        <v>28.11</v>
      </c>
      <c r="P543" s="27"/>
      <c r="Q543" s="27"/>
      <c r="R543" s="27"/>
    </row>
    <row r="544" spans="1:21" ht="16.350000000000001" hidden="1" customHeight="1" x14ac:dyDescent="0.2">
      <c r="A544" s="42" t="s">
        <v>392</v>
      </c>
      <c r="B544" s="42">
        <v>10</v>
      </c>
      <c r="C544" s="42">
        <v>63.43</v>
      </c>
      <c r="D544" s="41" t="s">
        <v>1</v>
      </c>
      <c r="E544" s="41" t="s">
        <v>253</v>
      </c>
      <c r="F544" s="59">
        <v>451</v>
      </c>
      <c r="G544" s="59">
        <v>525</v>
      </c>
      <c r="H544" s="60">
        <f t="shared" si="50"/>
        <v>56.4527</v>
      </c>
      <c r="I544" s="61">
        <v>0</v>
      </c>
      <c r="J544" s="94" t="s">
        <v>337</v>
      </c>
      <c r="K544" s="94"/>
      <c r="L544" s="94"/>
      <c r="M544" s="94"/>
      <c r="N544" s="27"/>
      <c r="O544" s="27">
        <f t="shared" si="51"/>
        <v>26.71</v>
      </c>
      <c r="P544" s="27"/>
      <c r="Q544" s="27"/>
      <c r="R544" s="27"/>
    </row>
    <row r="545" spans="1:18" ht="16.350000000000001" hidden="1" customHeight="1" x14ac:dyDescent="0.2">
      <c r="A545" s="42" t="s">
        <v>392</v>
      </c>
      <c r="B545" s="42">
        <v>10</v>
      </c>
      <c r="C545" s="42">
        <v>55.85</v>
      </c>
      <c r="D545" s="41" t="s">
        <v>1</v>
      </c>
      <c r="E545" s="41" t="s">
        <v>253</v>
      </c>
      <c r="F545" s="59">
        <v>526</v>
      </c>
      <c r="G545" s="59">
        <v>650</v>
      </c>
      <c r="H545" s="60">
        <f t="shared" si="50"/>
        <v>49.706500000000005</v>
      </c>
      <c r="I545" s="61">
        <v>0</v>
      </c>
      <c r="J545" s="94" t="s">
        <v>337</v>
      </c>
      <c r="K545" s="94"/>
      <c r="L545" s="94"/>
      <c r="M545" s="94"/>
      <c r="N545" s="27"/>
      <c r="O545" s="27">
        <f t="shared" si="51"/>
        <v>24.800000000000004</v>
      </c>
      <c r="P545" s="27"/>
      <c r="Q545" s="27"/>
      <c r="R545" s="27"/>
    </row>
    <row r="546" spans="1:18" ht="16.350000000000001" hidden="1" customHeight="1" x14ac:dyDescent="0.2">
      <c r="A546" s="42" t="s">
        <v>392</v>
      </c>
      <c r="B546" s="42">
        <v>10</v>
      </c>
      <c r="C546" s="42">
        <v>49.69</v>
      </c>
      <c r="D546" s="41" t="s">
        <v>1</v>
      </c>
      <c r="E546" s="41" t="s">
        <v>253</v>
      </c>
      <c r="F546" s="59">
        <v>651</v>
      </c>
      <c r="G546" s="59">
        <v>800</v>
      </c>
      <c r="H546" s="60">
        <f t="shared" si="50"/>
        <v>44.2241</v>
      </c>
      <c r="I546" s="61">
        <v>0</v>
      </c>
      <c r="J546" s="94" t="s">
        <v>337</v>
      </c>
      <c r="K546" s="94"/>
      <c r="L546" s="94"/>
      <c r="M546" s="94"/>
      <c r="N546" s="27"/>
      <c r="O546" s="27">
        <f t="shared" si="51"/>
        <v>21.560000000000002</v>
      </c>
      <c r="P546" s="27"/>
      <c r="Q546" s="27"/>
      <c r="R546" s="27"/>
    </row>
    <row r="547" spans="1:18" ht="16.350000000000001" hidden="1" customHeight="1" x14ac:dyDescent="0.2">
      <c r="A547" s="42" t="s">
        <v>392</v>
      </c>
      <c r="B547" s="42">
        <v>10</v>
      </c>
      <c r="C547" s="43">
        <v>46.3</v>
      </c>
      <c r="D547" s="41" t="s">
        <v>1</v>
      </c>
      <c r="E547" s="41" t="s">
        <v>253</v>
      </c>
      <c r="F547" s="59">
        <v>801</v>
      </c>
      <c r="G547" s="59">
        <v>999999</v>
      </c>
      <c r="H547" s="60">
        <f>IF(C547="","",C547*($B$5*$L$5))</f>
        <v>41.207000000000001</v>
      </c>
      <c r="I547" s="61">
        <v>0</v>
      </c>
      <c r="J547" s="94" t="s">
        <v>337</v>
      </c>
      <c r="K547" s="94"/>
      <c r="L547" s="94"/>
      <c r="M547" s="94"/>
      <c r="N547" s="27"/>
      <c r="O547" s="27">
        <f t="shared" si="51"/>
        <v>20.83</v>
      </c>
      <c r="P547" s="27"/>
      <c r="Q547" s="27"/>
      <c r="R547" s="27"/>
    </row>
    <row r="548" spans="1:18" ht="16.350000000000001" hidden="1" customHeight="1" x14ac:dyDescent="0.2">
      <c r="A548" s="42" t="s">
        <v>392</v>
      </c>
      <c r="B548" s="42">
        <v>10</v>
      </c>
      <c r="C548" s="43">
        <v>98.5</v>
      </c>
      <c r="D548" s="41" t="s">
        <v>1</v>
      </c>
      <c r="E548" s="41" t="s">
        <v>257</v>
      </c>
      <c r="F548" s="59">
        <v>0</v>
      </c>
      <c r="G548" s="59">
        <v>300</v>
      </c>
      <c r="H548" s="60">
        <f>IF(C548="","",C548*($B$6*$L$5))</f>
        <v>87.665000000000006</v>
      </c>
      <c r="I548" s="61">
        <v>0</v>
      </c>
      <c r="J548" s="94" t="s">
        <v>347</v>
      </c>
      <c r="K548" s="94"/>
      <c r="L548" s="94"/>
      <c r="M548" s="94"/>
      <c r="N548" s="27"/>
      <c r="O548" s="27" t="s">
        <v>499</v>
      </c>
      <c r="P548" s="27"/>
      <c r="Q548" s="27"/>
      <c r="R548" s="27"/>
    </row>
    <row r="549" spans="1:18" ht="16.350000000000001" hidden="1" customHeight="1" x14ac:dyDescent="0.2">
      <c r="A549" s="42" t="s">
        <v>392</v>
      </c>
      <c r="B549" s="42">
        <v>10</v>
      </c>
      <c r="C549" s="42">
        <v>83.56</v>
      </c>
      <c r="D549" s="41" t="s">
        <v>1</v>
      </c>
      <c r="E549" s="41" t="s">
        <v>257</v>
      </c>
      <c r="F549" s="59">
        <v>301</v>
      </c>
      <c r="G549" s="59">
        <v>450</v>
      </c>
      <c r="H549" s="60">
        <f t="shared" ref="H549:H575" si="52">IF(C549="","",C549*($B$6*$L$5))</f>
        <v>74.368400000000008</v>
      </c>
      <c r="I549" s="61">
        <v>0</v>
      </c>
      <c r="J549" s="94" t="s">
        <v>347</v>
      </c>
      <c r="K549" s="94"/>
      <c r="L549" s="94"/>
      <c r="M549" s="94"/>
      <c r="N549" s="27"/>
      <c r="O549" s="27"/>
      <c r="P549" s="27"/>
      <c r="Q549" s="27"/>
      <c r="R549" s="27"/>
    </row>
    <row r="550" spans="1:18" ht="16.350000000000001" hidden="1" customHeight="1" x14ac:dyDescent="0.2">
      <c r="A550" s="42" t="s">
        <v>392</v>
      </c>
      <c r="B550" s="42">
        <v>10</v>
      </c>
      <c r="C550" s="43">
        <v>76.099999999999994</v>
      </c>
      <c r="D550" s="41" t="s">
        <v>1</v>
      </c>
      <c r="E550" s="41" t="s">
        <v>257</v>
      </c>
      <c r="F550" s="59">
        <v>451</v>
      </c>
      <c r="G550" s="59">
        <v>525</v>
      </c>
      <c r="H550" s="60">
        <f t="shared" si="52"/>
        <v>67.728999999999999</v>
      </c>
      <c r="I550" s="61">
        <v>0</v>
      </c>
      <c r="J550" s="94" t="s">
        <v>347</v>
      </c>
      <c r="K550" s="94"/>
      <c r="L550" s="94"/>
      <c r="M550" s="94"/>
      <c r="N550" s="27"/>
      <c r="O550" s="27"/>
      <c r="P550" s="27"/>
      <c r="Q550" s="27"/>
      <c r="R550" s="27"/>
    </row>
    <row r="551" spans="1:18" ht="16.350000000000001" hidden="1" customHeight="1" x14ac:dyDescent="0.2">
      <c r="A551" s="42" t="s">
        <v>392</v>
      </c>
      <c r="B551" s="42">
        <v>10</v>
      </c>
      <c r="C551" s="42">
        <v>69.150000000000006</v>
      </c>
      <c r="D551" s="41" t="s">
        <v>1</v>
      </c>
      <c r="E551" s="41" t="s">
        <v>257</v>
      </c>
      <c r="F551" s="59">
        <v>526</v>
      </c>
      <c r="G551" s="59">
        <v>650</v>
      </c>
      <c r="H551" s="60">
        <f t="shared" si="52"/>
        <v>61.543500000000009</v>
      </c>
      <c r="I551" s="61">
        <v>0</v>
      </c>
      <c r="J551" s="94" t="s">
        <v>347</v>
      </c>
      <c r="K551" s="94"/>
      <c r="L551" s="94"/>
      <c r="M551" s="94"/>
      <c r="N551" s="27"/>
      <c r="O551" s="27"/>
      <c r="P551" s="27"/>
      <c r="Q551" s="27"/>
      <c r="R551" s="27"/>
    </row>
    <row r="552" spans="1:18" ht="16.350000000000001" hidden="1" customHeight="1" x14ac:dyDescent="0.2">
      <c r="A552" s="42" t="s">
        <v>392</v>
      </c>
      <c r="B552" s="42">
        <v>10</v>
      </c>
      <c r="C552" s="42">
        <v>62.47</v>
      </c>
      <c r="D552" s="41" t="s">
        <v>1</v>
      </c>
      <c r="E552" s="41" t="s">
        <v>257</v>
      </c>
      <c r="F552" s="59">
        <v>651</v>
      </c>
      <c r="G552" s="59">
        <v>800</v>
      </c>
      <c r="H552" s="60">
        <f t="shared" si="52"/>
        <v>55.598300000000002</v>
      </c>
      <c r="I552" s="61">
        <v>0</v>
      </c>
      <c r="J552" s="94" t="s">
        <v>347</v>
      </c>
      <c r="K552" s="94"/>
      <c r="L552" s="94"/>
      <c r="M552" s="94"/>
      <c r="N552" s="27"/>
      <c r="O552" s="27"/>
      <c r="P552" s="27"/>
      <c r="Q552" s="27"/>
      <c r="R552" s="27"/>
    </row>
    <row r="553" spans="1:18" ht="16.350000000000001" hidden="1" customHeight="1" x14ac:dyDescent="0.2">
      <c r="A553" s="42" t="s">
        <v>392</v>
      </c>
      <c r="B553" s="42">
        <v>10</v>
      </c>
      <c r="C553" s="42">
        <v>56.63</v>
      </c>
      <c r="D553" s="41" t="s">
        <v>1</v>
      </c>
      <c r="E553" s="41" t="s">
        <v>257</v>
      </c>
      <c r="F553" s="59">
        <v>801</v>
      </c>
      <c r="G553" s="59">
        <v>999999</v>
      </c>
      <c r="H553" s="60">
        <f t="shared" si="52"/>
        <v>50.400700000000001</v>
      </c>
      <c r="I553" s="61">
        <v>0</v>
      </c>
      <c r="J553" s="94" t="s">
        <v>347</v>
      </c>
      <c r="K553" s="94"/>
      <c r="L553" s="94"/>
      <c r="M553" s="94"/>
      <c r="N553" s="27"/>
      <c r="O553" s="27"/>
      <c r="P553" s="27"/>
      <c r="Q553" s="27"/>
      <c r="R553" s="27"/>
    </row>
    <row r="554" spans="1:18" ht="16.350000000000001" hidden="1" customHeight="1" x14ac:dyDescent="0.2">
      <c r="A554" s="42" t="s">
        <v>392</v>
      </c>
      <c r="B554" s="42">
        <v>10</v>
      </c>
      <c r="C554" s="43">
        <v>104.5</v>
      </c>
      <c r="D554" s="41" t="s">
        <v>1</v>
      </c>
      <c r="E554" s="41" t="s">
        <v>256</v>
      </c>
      <c r="F554" s="59">
        <v>0</v>
      </c>
      <c r="G554" s="59">
        <v>300</v>
      </c>
      <c r="H554" s="60">
        <f t="shared" si="52"/>
        <v>93.004999999999995</v>
      </c>
      <c r="I554" s="61">
        <v>0</v>
      </c>
      <c r="J554" s="94" t="s">
        <v>352</v>
      </c>
      <c r="K554" s="94"/>
      <c r="L554" s="94"/>
      <c r="M554" s="94"/>
      <c r="N554" s="27"/>
      <c r="O554" s="27"/>
      <c r="P554" s="27"/>
      <c r="Q554" s="27"/>
      <c r="R554" s="27"/>
    </row>
    <row r="555" spans="1:18" ht="16.350000000000001" hidden="1" customHeight="1" x14ac:dyDescent="0.2">
      <c r="A555" s="42" t="s">
        <v>392</v>
      </c>
      <c r="B555" s="42">
        <v>10</v>
      </c>
      <c r="C555" s="43">
        <v>87.44</v>
      </c>
      <c r="D555" s="41" t="s">
        <v>1</v>
      </c>
      <c r="E555" s="41" t="s">
        <v>256</v>
      </c>
      <c r="F555" s="59">
        <v>301</v>
      </c>
      <c r="G555" s="59">
        <v>450</v>
      </c>
      <c r="H555" s="60">
        <f t="shared" si="52"/>
        <v>77.821600000000004</v>
      </c>
      <c r="I555" s="61">
        <v>0</v>
      </c>
      <c r="J555" s="94" t="s">
        <v>352</v>
      </c>
      <c r="K555" s="94"/>
      <c r="L555" s="94"/>
      <c r="M555" s="94"/>
      <c r="N555" s="27"/>
      <c r="O555" s="27"/>
      <c r="P555" s="27"/>
      <c r="Q555" s="27"/>
      <c r="R555" s="27"/>
    </row>
    <row r="556" spans="1:18" ht="16.350000000000001" hidden="1" customHeight="1" x14ac:dyDescent="0.2">
      <c r="A556" s="42" t="s">
        <v>392</v>
      </c>
      <c r="B556" s="42">
        <v>10</v>
      </c>
      <c r="C556" s="43">
        <v>79.430000000000007</v>
      </c>
      <c r="D556" s="41" t="s">
        <v>1</v>
      </c>
      <c r="E556" s="41" t="s">
        <v>256</v>
      </c>
      <c r="F556" s="59">
        <v>451</v>
      </c>
      <c r="G556" s="59">
        <v>525</v>
      </c>
      <c r="H556" s="60">
        <f t="shared" si="52"/>
        <v>70.692700000000002</v>
      </c>
      <c r="I556" s="61">
        <v>0</v>
      </c>
      <c r="J556" s="94" t="s">
        <v>352</v>
      </c>
      <c r="K556" s="94"/>
      <c r="L556" s="94"/>
      <c r="M556" s="94"/>
      <c r="N556" s="27"/>
      <c r="O556" s="27"/>
      <c r="P556" s="27"/>
      <c r="Q556" s="27"/>
      <c r="R556" s="27"/>
    </row>
    <row r="557" spans="1:18" ht="16.350000000000001" hidden="1" customHeight="1" x14ac:dyDescent="0.2">
      <c r="A557" s="42" t="s">
        <v>392</v>
      </c>
      <c r="B557" s="42">
        <v>10</v>
      </c>
      <c r="C557" s="43">
        <v>72.150000000000006</v>
      </c>
      <c r="D557" s="41" t="s">
        <v>1</v>
      </c>
      <c r="E557" s="41" t="s">
        <v>256</v>
      </c>
      <c r="F557" s="59">
        <v>526</v>
      </c>
      <c r="G557" s="59">
        <v>650</v>
      </c>
      <c r="H557" s="60">
        <f t="shared" si="52"/>
        <v>64.21350000000001</v>
      </c>
      <c r="I557" s="61">
        <v>0</v>
      </c>
      <c r="J557" s="94" t="s">
        <v>352</v>
      </c>
      <c r="K557" s="94"/>
      <c r="L557" s="94"/>
      <c r="M557" s="94"/>
      <c r="N557" s="27"/>
      <c r="O557" s="27"/>
      <c r="P557" s="27"/>
      <c r="Q557" s="27"/>
      <c r="R557" s="27"/>
    </row>
    <row r="558" spans="1:18" ht="16.350000000000001" hidden="1" customHeight="1" x14ac:dyDescent="0.2">
      <c r="A558" s="42" t="s">
        <v>392</v>
      </c>
      <c r="B558" s="42">
        <v>10</v>
      </c>
      <c r="C558" s="43">
        <v>67</v>
      </c>
      <c r="D558" s="41" t="s">
        <v>1</v>
      </c>
      <c r="E558" s="41" t="s">
        <v>256</v>
      </c>
      <c r="F558" s="59">
        <v>651</v>
      </c>
      <c r="G558" s="59">
        <v>800</v>
      </c>
      <c r="H558" s="60">
        <f t="shared" si="52"/>
        <v>59.63</v>
      </c>
      <c r="I558" s="61">
        <v>0</v>
      </c>
      <c r="J558" s="94" t="s">
        <v>352</v>
      </c>
      <c r="K558" s="94"/>
      <c r="L558" s="94"/>
      <c r="M558" s="94"/>
      <c r="N558" s="27"/>
      <c r="O558" s="27"/>
      <c r="P558" s="27"/>
      <c r="Q558" s="27"/>
      <c r="R558" s="27"/>
    </row>
    <row r="559" spans="1:18" ht="16.350000000000001" hidden="1" customHeight="1" x14ac:dyDescent="0.2">
      <c r="A559" s="42" t="s">
        <v>392</v>
      </c>
      <c r="B559" s="42">
        <v>10</v>
      </c>
      <c r="C559" s="43">
        <v>60.5</v>
      </c>
      <c r="D559" s="41" t="s">
        <v>1</v>
      </c>
      <c r="E559" s="41" t="s">
        <v>256</v>
      </c>
      <c r="F559" s="59">
        <v>801</v>
      </c>
      <c r="G559" s="59">
        <v>999999</v>
      </c>
      <c r="H559" s="60">
        <f t="shared" si="52"/>
        <v>53.844999999999999</v>
      </c>
      <c r="I559" s="61">
        <v>0</v>
      </c>
      <c r="J559" s="94" t="s">
        <v>352</v>
      </c>
      <c r="K559" s="94"/>
      <c r="L559" s="94"/>
      <c r="M559" s="94"/>
      <c r="N559" s="27"/>
      <c r="O559" s="27"/>
      <c r="P559" s="27"/>
      <c r="Q559" s="27"/>
      <c r="R559" s="27"/>
    </row>
    <row r="560" spans="1:18" ht="16.350000000000001" hidden="1" customHeight="1" x14ac:dyDescent="0.2">
      <c r="A560" s="42" t="s">
        <v>392</v>
      </c>
      <c r="B560" s="42">
        <v>10</v>
      </c>
      <c r="C560" s="42">
        <v>111.17</v>
      </c>
      <c r="D560" s="41" t="s">
        <v>1</v>
      </c>
      <c r="E560" s="41" t="s">
        <v>255</v>
      </c>
      <c r="F560" s="59">
        <v>0</v>
      </c>
      <c r="G560" s="59">
        <v>300</v>
      </c>
      <c r="H560" s="60">
        <f t="shared" si="52"/>
        <v>98.941299999999998</v>
      </c>
      <c r="I560" s="61">
        <v>0</v>
      </c>
      <c r="J560" s="94" t="s">
        <v>353</v>
      </c>
      <c r="K560" s="94"/>
      <c r="L560" s="94"/>
      <c r="M560" s="94"/>
      <c r="N560" s="27"/>
      <c r="O560" s="27"/>
      <c r="P560" s="27"/>
      <c r="Q560" s="27"/>
      <c r="R560" s="27"/>
    </row>
    <row r="561" spans="1:18" ht="16.350000000000001" hidden="1" customHeight="1" x14ac:dyDescent="0.2">
      <c r="A561" s="42" t="s">
        <v>392</v>
      </c>
      <c r="B561" s="42">
        <v>10</v>
      </c>
      <c r="C561" s="42">
        <v>91.78</v>
      </c>
      <c r="D561" s="41" t="s">
        <v>1</v>
      </c>
      <c r="E561" s="41" t="s">
        <v>255</v>
      </c>
      <c r="F561" s="59">
        <v>301</v>
      </c>
      <c r="G561" s="59">
        <v>450</v>
      </c>
      <c r="H561" s="60">
        <f t="shared" si="52"/>
        <v>81.684200000000004</v>
      </c>
      <c r="I561" s="61">
        <v>0</v>
      </c>
      <c r="J561" s="94" t="s">
        <v>353</v>
      </c>
      <c r="K561" s="94"/>
      <c r="L561" s="94"/>
      <c r="M561" s="94"/>
      <c r="N561" s="27"/>
      <c r="O561" s="27"/>
      <c r="P561" s="27"/>
      <c r="Q561" s="27"/>
      <c r="R561" s="27"/>
    </row>
    <row r="562" spans="1:18" ht="16.350000000000001" hidden="1" customHeight="1" x14ac:dyDescent="0.2">
      <c r="A562" s="42" t="s">
        <v>392</v>
      </c>
      <c r="B562" s="42">
        <v>10</v>
      </c>
      <c r="C562" s="42">
        <v>83.33</v>
      </c>
      <c r="D562" s="41" t="s">
        <v>1</v>
      </c>
      <c r="E562" s="41" t="s">
        <v>255</v>
      </c>
      <c r="F562" s="59">
        <v>451</v>
      </c>
      <c r="G562" s="59">
        <v>525</v>
      </c>
      <c r="H562" s="60">
        <f t="shared" si="52"/>
        <v>74.163700000000006</v>
      </c>
      <c r="I562" s="61">
        <v>0</v>
      </c>
      <c r="J562" s="94" t="s">
        <v>353</v>
      </c>
      <c r="K562" s="94"/>
      <c r="L562" s="94"/>
      <c r="M562" s="94"/>
      <c r="N562" s="27"/>
      <c r="O562" s="27"/>
      <c r="P562" s="27"/>
      <c r="Q562" s="27"/>
      <c r="R562" s="27"/>
    </row>
    <row r="563" spans="1:18" ht="16.350000000000001" hidden="1" customHeight="1" x14ac:dyDescent="0.2">
      <c r="A563" s="42" t="s">
        <v>392</v>
      </c>
      <c r="B563" s="42">
        <v>10</v>
      </c>
      <c r="C563" s="42">
        <v>75.040000000000006</v>
      </c>
      <c r="D563" s="41" t="s">
        <v>1</v>
      </c>
      <c r="E563" s="41" t="s">
        <v>255</v>
      </c>
      <c r="F563" s="59">
        <v>526</v>
      </c>
      <c r="G563" s="59">
        <v>650</v>
      </c>
      <c r="H563" s="60">
        <f t="shared" si="52"/>
        <v>66.785600000000002</v>
      </c>
      <c r="I563" s="61">
        <v>0</v>
      </c>
      <c r="J563" s="94" t="s">
        <v>353</v>
      </c>
      <c r="K563" s="94"/>
      <c r="L563" s="94"/>
      <c r="M563" s="94"/>
      <c r="N563" s="27"/>
      <c r="O563" s="27"/>
      <c r="P563" s="27"/>
      <c r="Q563" s="27"/>
      <c r="R563" s="27"/>
    </row>
    <row r="564" spans="1:18" ht="16.350000000000001" hidden="1" customHeight="1" x14ac:dyDescent="0.2">
      <c r="A564" s="42" t="s">
        <v>392</v>
      </c>
      <c r="B564" s="42">
        <v>10</v>
      </c>
      <c r="C564" s="42">
        <v>69.06</v>
      </c>
      <c r="D564" s="41" t="s">
        <v>1</v>
      </c>
      <c r="E564" s="41" t="s">
        <v>255</v>
      </c>
      <c r="F564" s="59">
        <v>651</v>
      </c>
      <c r="G564" s="59">
        <v>800</v>
      </c>
      <c r="H564" s="60">
        <f t="shared" si="52"/>
        <v>61.4634</v>
      </c>
      <c r="I564" s="61">
        <v>0</v>
      </c>
      <c r="J564" s="94" t="s">
        <v>353</v>
      </c>
      <c r="K564" s="94"/>
      <c r="L564" s="94"/>
      <c r="M564" s="94"/>
      <c r="N564" s="27"/>
      <c r="O564" s="27"/>
      <c r="P564" s="27"/>
      <c r="Q564" s="27"/>
      <c r="R564" s="27"/>
    </row>
    <row r="565" spans="1:18" ht="16.350000000000001" hidden="1" customHeight="1" x14ac:dyDescent="0.2">
      <c r="A565" s="42" t="s">
        <v>392</v>
      </c>
      <c r="B565" s="42">
        <v>10</v>
      </c>
      <c r="C565" s="43">
        <v>62</v>
      </c>
      <c r="D565" s="41" t="s">
        <v>1</v>
      </c>
      <c r="E565" s="41" t="s">
        <v>255</v>
      </c>
      <c r="F565" s="59">
        <v>801</v>
      </c>
      <c r="G565" s="59">
        <v>999999</v>
      </c>
      <c r="H565" s="60">
        <f t="shared" si="52"/>
        <v>55.18</v>
      </c>
      <c r="I565" s="61">
        <v>0</v>
      </c>
      <c r="J565" s="94" t="s">
        <v>353</v>
      </c>
      <c r="K565" s="94"/>
      <c r="L565" s="94"/>
      <c r="M565" s="94"/>
      <c r="N565" s="27"/>
      <c r="O565" s="27" t="s">
        <v>540</v>
      </c>
      <c r="P565" s="27"/>
      <c r="Q565" s="27"/>
      <c r="R565" s="27"/>
    </row>
    <row r="566" spans="1:18" ht="16.350000000000001" customHeight="1" x14ac:dyDescent="0.2">
      <c r="A566" s="81"/>
      <c r="B566" s="81"/>
      <c r="C566" s="89"/>
      <c r="D566" s="82"/>
      <c r="E566" s="82"/>
      <c r="F566" s="83"/>
      <c r="G566" s="83"/>
      <c r="H566" s="84"/>
      <c r="I566" s="85"/>
      <c r="J566" s="86"/>
      <c r="K566" s="86"/>
      <c r="L566" s="86"/>
      <c r="M566" s="86"/>
      <c r="N566" s="27"/>
      <c r="O566" s="27"/>
      <c r="P566" s="27"/>
      <c r="Q566" s="27"/>
      <c r="R566" s="27"/>
    </row>
    <row r="567" spans="1:18" ht="16.350000000000001" customHeight="1" x14ac:dyDescent="0.2">
      <c r="C567" s="45"/>
      <c r="D567" s="27"/>
      <c r="E567" s="27"/>
      <c r="F567" s="64"/>
      <c r="G567" s="64"/>
      <c r="H567" s="65"/>
      <c r="I567" s="26"/>
      <c r="J567" s="54"/>
      <c r="K567" s="54"/>
      <c r="L567" s="54"/>
      <c r="M567" s="54"/>
      <c r="N567" s="27"/>
      <c r="O567" s="27"/>
      <c r="P567" s="27"/>
      <c r="Q567" s="27"/>
      <c r="R567" s="27"/>
    </row>
    <row r="568" spans="1:18" ht="16.350000000000001" customHeight="1" x14ac:dyDescent="0.2">
      <c r="C568" s="45"/>
      <c r="D568" s="27"/>
      <c r="E568" s="27"/>
      <c r="F568" s="64"/>
      <c r="G568" s="64"/>
      <c r="H568" s="65"/>
      <c r="I568" s="26"/>
      <c r="J568" s="54"/>
      <c r="K568" s="54"/>
      <c r="L568" s="54"/>
      <c r="M568" s="54"/>
      <c r="N568" s="27"/>
      <c r="O568" s="27"/>
      <c r="P568" s="27"/>
      <c r="Q568" s="27"/>
      <c r="R568" s="27"/>
    </row>
    <row r="569" spans="1:18" ht="16.350000000000001" customHeight="1" x14ac:dyDescent="0.2">
      <c r="A569" s="55" t="s">
        <v>389</v>
      </c>
      <c r="B569" s="55" t="s">
        <v>390</v>
      </c>
      <c r="C569" s="55" t="s">
        <v>391</v>
      </c>
      <c r="D569" s="56" t="s">
        <v>2</v>
      </c>
      <c r="E569" s="55" t="s">
        <v>334</v>
      </c>
      <c r="F569" s="66" t="s">
        <v>333</v>
      </c>
      <c r="G569" s="66" t="s">
        <v>333</v>
      </c>
      <c r="H569" s="57" t="s">
        <v>335</v>
      </c>
      <c r="I569" s="58" t="s">
        <v>336</v>
      </c>
      <c r="J569" s="95" t="s">
        <v>0</v>
      </c>
      <c r="K569" s="95"/>
      <c r="L569" s="95"/>
      <c r="M569" s="95"/>
      <c r="N569" s="27"/>
      <c r="O569" s="27"/>
      <c r="P569" s="27"/>
      <c r="Q569" s="27"/>
      <c r="R569" s="27"/>
    </row>
    <row r="570" spans="1:18" ht="16.350000000000001" hidden="1" customHeight="1" x14ac:dyDescent="0.2">
      <c r="A570" s="42" t="s">
        <v>392</v>
      </c>
      <c r="B570" s="42">
        <v>10</v>
      </c>
      <c r="C570" s="43">
        <v>119</v>
      </c>
      <c r="D570" s="41" t="s">
        <v>1</v>
      </c>
      <c r="E570" s="41" t="s">
        <v>254</v>
      </c>
      <c r="F570" s="59">
        <v>0</v>
      </c>
      <c r="G570" s="59">
        <v>300</v>
      </c>
      <c r="H570" s="60">
        <f t="shared" si="52"/>
        <v>105.91</v>
      </c>
      <c r="I570" s="61">
        <v>0</v>
      </c>
      <c r="J570" s="94" t="s">
        <v>354</v>
      </c>
      <c r="K570" s="94"/>
      <c r="L570" s="94"/>
      <c r="M570" s="94"/>
      <c r="N570" s="27"/>
      <c r="O570" s="27"/>
      <c r="P570" s="27"/>
      <c r="Q570" s="27"/>
      <c r="R570" s="27"/>
    </row>
    <row r="571" spans="1:18" ht="16.350000000000001" hidden="1" customHeight="1" x14ac:dyDescent="0.2">
      <c r="A571" s="42" t="s">
        <v>392</v>
      </c>
      <c r="B571" s="42">
        <v>10</v>
      </c>
      <c r="C571" s="43">
        <v>96.33</v>
      </c>
      <c r="D571" s="41" t="s">
        <v>1</v>
      </c>
      <c r="E571" s="41" t="s">
        <v>254</v>
      </c>
      <c r="F571" s="59">
        <v>301</v>
      </c>
      <c r="G571" s="59">
        <v>450</v>
      </c>
      <c r="H571" s="60">
        <f t="shared" si="52"/>
        <v>85.733699999999999</v>
      </c>
      <c r="I571" s="61">
        <v>0</v>
      </c>
      <c r="J571" s="94" t="s">
        <v>354</v>
      </c>
      <c r="K571" s="94"/>
      <c r="L571" s="94"/>
      <c r="M571" s="94"/>
      <c r="N571" s="27"/>
      <c r="O571" s="27"/>
      <c r="P571" s="27"/>
      <c r="Q571" s="27"/>
      <c r="R571" s="27"/>
    </row>
    <row r="572" spans="1:18" ht="16.350000000000001" hidden="1" customHeight="1" x14ac:dyDescent="0.2">
      <c r="A572" s="42" t="s">
        <v>392</v>
      </c>
      <c r="B572" s="42">
        <v>10</v>
      </c>
      <c r="C572" s="43">
        <v>90.14</v>
      </c>
      <c r="D572" s="41" t="s">
        <v>1</v>
      </c>
      <c r="E572" s="41" t="s">
        <v>254</v>
      </c>
      <c r="F572" s="59">
        <v>451</v>
      </c>
      <c r="G572" s="59">
        <v>525</v>
      </c>
      <c r="H572" s="60">
        <f t="shared" si="52"/>
        <v>80.224599999999995</v>
      </c>
      <c r="I572" s="61">
        <v>0</v>
      </c>
      <c r="J572" s="94" t="s">
        <v>354</v>
      </c>
      <c r="K572" s="94"/>
      <c r="L572" s="94"/>
      <c r="M572" s="94"/>
      <c r="N572" s="27"/>
      <c r="O572" s="27"/>
      <c r="P572" s="27"/>
      <c r="Q572" s="27"/>
      <c r="R572" s="27"/>
    </row>
    <row r="573" spans="1:18" ht="16.350000000000001" hidden="1" customHeight="1" x14ac:dyDescent="0.2">
      <c r="A573" s="42" t="s">
        <v>392</v>
      </c>
      <c r="B573" s="42">
        <v>10</v>
      </c>
      <c r="C573" s="43">
        <v>80.650000000000006</v>
      </c>
      <c r="D573" s="41" t="s">
        <v>1</v>
      </c>
      <c r="E573" s="41" t="s">
        <v>254</v>
      </c>
      <c r="F573" s="59">
        <v>526</v>
      </c>
      <c r="G573" s="59">
        <v>650</v>
      </c>
      <c r="H573" s="60">
        <f t="shared" si="52"/>
        <v>71.778500000000008</v>
      </c>
      <c r="I573" s="61">
        <v>0</v>
      </c>
      <c r="J573" s="94" t="s">
        <v>354</v>
      </c>
      <c r="K573" s="94"/>
      <c r="L573" s="94"/>
      <c r="M573" s="94"/>
      <c r="N573" s="27"/>
      <c r="O573" s="27"/>
      <c r="P573" s="27"/>
      <c r="Q573" s="27"/>
      <c r="R573" s="27"/>
    </row>
    <row r="574" spans="1:18" ht="16.350000000000001" hidden="1" customHeight="1" x14ac:dyDescent="0.2">
      <c r="A574" s="42" t="s">
        <v>392</v>
      </c>
      <c r="B574" s="42">
        <v>10</v>
      </c>
      <c r="C574" s="43">
        <v>71.25</v>
      </c>
      <c r="D574" s="41" t="s">
        <v>1</v>
      </c>
      <c r="E574" s="41" t="s">
        <v>254</v>
      </c>
      <c r="F574" s="59">
        <v>651</v>
      </c>
      <c r="G574" s="59">
        <v>800</v>
      </c>
      <c r="H574" s="60">
        <f t="shared" si="52"/>
        <v>63.412500000000001</v>
      </c>
      <c r="I574" s="61">
        <v>0</v>
      </c>
      <c r="J574" s="94" t="s">
        <v>354</v>
      </c>
      <c r="K574" s="94"/>
      <c r="L574" s="94"/>
      <c r="M574" s="94"/>
      <c r="N574" s="27"/>
      <c r="O574" s="27"/>
      <c r="P574" s="27"/>
      <c r="Q574" s="27"/>
      <c r="R574" s="27"/>
    </row>
    <row r="575" spans="1:18" ht="16.350000000000001" hidden="1" customHeight="1" x14ac:dyDescent="0.2">
      <c r="A575" s="42" t="s">
        <v>392</v>
      </c>
      <c r="B575" s="42">
        <v>10</v>
      </c>
      <c r="C575" s="43">
        <v>67.13</v>
      </c>
      <c r="D575" s="41" t="s">
        <v>1</v>
      </c>
      <c r="E575" s="41" t="s">
        <v>254</v>
      </c>
      <c r="F575" s="59">
        <v>801</v>
      </c>
      <c r="G575" s="59">
        <v>999999</v>
      </c>
      <c r="H575" s="60">
        <f t="shared" si="52"/>
        <v>59.745699999999999</v>
      </c>
      <c r="I575" s="61">
        <v>0</v>
      </c>
      <c r="J575" s="94" t="s">
        <v>354</v>
      </c>
      <c r="K575" s="94"/>
      <c r="L575" s="94"/>
      <c r="M575" s="94"/>
      <c r="N575" s="27"/>
      <c r="O575" s="27"/>
      <c r="P575" s="27"/>
      <c r="Q575" s="27"/>
      <c r="R575" s="27"/>
    </row>
    <row r="576" spans="1:18" ht="16.350000000000001" customHeight="1" x14ac:dyDescent="0.2">
      <c r="A576" s="42"/>
      <c r="B576" s="42"/>
      <c r="C576" s="42"/>
      <c r="D576" s="41" t="s">
        <v>1</v>
      </c>
      <c r="E576" s="41" t="s">
        <v>77</v>
      </c>
      <c r="F576" s="59">
        <v>0</v>
      </c>
      <c r="G576" s="59">
        <v>999999</v>
      </c>
      <c r="H576" s="60">
        <v>0</v>
      </c>
      <c r="I576" s="61">
        <v>0.3</v>
      </c>
      <c r="J576" s="94" t="s">
        <v>355</v>
      </c>
      <c r="K576" s="94"/>
      <c r="L576" s="94"/>
      <c r="M576" s="94"/>
      <c r="N576" s="27"/>
      <c r="O576" s="27" t="s">
        <v>500</v>
      </c>
      <c r="P576" s="27"/>
      <c r="Q576" s="27"/>
      <c r="R576" s="27"/>
    </row>
    <row r="577" spans="1:18" ht="16.350000000000001" customHeight="1" x14ac:dyDescent="0.2">
      <c r="A577" s="42" t="s">
        <v>392</v>
      </c>
      <c r="B577" s="42">
        <v>2</v>
      </c>
      <c r="C577" s="43">
        <v>13.3</v>
      </c>
      <c r="D577" s="41" t="s">
        <v>1</v>
      </c>
      <c r="E577" s="41" t="s">
        <v>54</v>
      </c>
      <c r="F577" s="59">
        <v>0</v>
      </c>
      <c r="G577" s="59">
        <v>999999</v>
      </c>
      <c r="H577" s="60">
        <f>IF(C577="","",C577*($B$5*$L$5))</f>
        <v>11.837000000000002</v>
      </c>
      <c r="I577" s="61">
        <v>0</v>
      </c>
      <c r="J577" s="94" t="s">
        <v>58</v>
      </c>
      <c r="K577" s="94"/>
      <c r="L577" s="94"/>
      <c r="M577" s="94"/>
      <c r="N577" s="27"/>
      <c r="O577" s="27" t="s">
        <v>508</v>
      </c>
      <c r="P577" s="27"/>
      <c r="Q577" s="27"/>
      <c r="R577" s="27"/>
    </row>
    <row r="578" spans="1:18" ht="16.350000000000001" customHeight="1" x14ac:dyDescent="0.2">
      <c r="A578" s="42" t="s">
        <v>392</v>
      </c>
      <c r="B578" s="42">
        <v>2</v>
      </c>
      <c r="C578" s="42">
        <v>18.079999999999998</v>
      </c>
      <c r="D578" s="41" t="s">
        <v>1</v>
      </c>
      <c r="E578" s="41" t="s">
        <v>55</v>
      </c>
      <c r="F578" s="59">
        <v>0</v>
      </c>
      <c r="G578" s="59">
        <v>999999</v>
      </c>
      <c r="H578" s="60">
        <f>IF(C578="","",C578*($B$5*$L$5))</f>
        <v>16.091199999999997</v>
      </c>
      <c r="I578" s="61">
        <v>0</v>
      </c>
      <c r="J578" s="94" t="s">
        <v>116</v>
      </c>
      <c r="K578" s="94"/>
      <c r="L578" s="94"/>
      <c r="M578" s="94"/>
      <c r="N578" s="27"/>
      <c r="O578" s="27"/>
      <c r="P578" s="27"/>
      <c r="Q578" s="27"/>
      <c r="R578" s="27"/>
    </row>
    <row r="579" spans="1:18" ht="16.350000000000001" customHeight="1" x14ac:dyDescent="0.2">
      <c r="A579" s="42" t="s">
        <v>392</v>
      </c>
      <c r="B579" s="42">
        <v>2</v>
      </c>
      <c r="C579" s="42">
        <v>22.85</v>
      </c>
      <c r="D579" s="41" t="s">
        <v>1</v>
      </c>
      <c r="E579" s="41" t="s">
        <v>56</v>
      </c>
      <c r="F579" s="59">
        <v>0</v>
      </c>
      <c r="G579" s="59">
        <v>999999</v>
      </c>
      <c r="H579" s="60">
        <f>IF(C579="","",C579*($B$5*$L$5))</f>
        <v>20.336500000000001</v>
      </c>
      <c r="I579" s="61">
        <v>0</v>
      </c>
      <c r="J579" s="94" t="s">
        <v>59</v>
      </c>
      <c r="K579" s="94"/>
      <c r="L579" s="94"/>
      <c r="M579" s="94"/>
      <c r="N579" s="27"/>
      <c r="O579" s="27"/>
      <c r="P579" s="27"/>
      <c r="Q579" s="27"/>
      <c r="R579" s="27"/>
    </row>
    <row r="580" spans="1:18" ht="16.350000000000001" customHeight="1" x14ac:dyDescent="0.2">
      <c r="A580" s="42" t="s">
        <v>392</v>
      </c>
      <c r="B580" s="42">
        <v>2</v>
      </c>
      <c r="C580" s="42">
        <v>25.75</v>
      </c>
      <c r="D580" s="41" t="s">
        <v>1</v>
      </c>
      <c r="E580" s="41" t="s">
        <v>57</v>
      </c>
      <c r="F580" s="59">
        <v>0</v>
      </c>
      <c r="G580" s="59">
        <v>999999</v>
      </c>
      <c r="H580" s="60">
        <f>IF(C580="","",C580*($B$5*$L$5))</f>
        <v>22.9175</v>
      </c>
      <c r="I580" s="61">
        <v>0</v>
      </c>
      <c r="J580" s="94" t="s">
        <v>115</v>
      </c>
      <c r="K580" s="94"/>
      <c r="L580" s="94"/>
      <c r="M580" s="94"/>
      <c r="N580" s="27"/>
      <c r="O580" s="27"/>
      <c r="P580" s="27"/>
      <c r="Q580" s="27"/>
      <c r="R580" s="27"/>
    </row>
    <row r="581" spans="1:18" ht="16.350000000000001" customHeight="1" x14ac:dyDescent="0.2">
      <c r="A581" s="42"/>
      <c r="B581" s="42"/>
      <c r="C581" s="42"/>
      <c r="D581" s="41" t="s">
        <v>1</v>
      </c>
      <c r="E581" s="41" t="s">
        <v>201</v>
      </c>
      <c r="F581" s="59">
        <v>0</v>
      </c>
      <c r="G581" s="59">
        <v>999999</v>
      </c>
      <c r="H581" s="60">
        <v>0</v>
      </c>
      <c r="I581" s="61">
        <v>0.25</v>
      </c>
      <c r="J581" s="94" t="s">
        <v>356</v>
      </c>
      <c r="K581" s="94"/>
      <c r="L581" s="94"/>
      <c r="M581" s="94"/>
      <c r="N581" s="27"/>
      <c r="O581" s="27" t="s">
        <v>509</v>
      </c>
      <c r="P581" s="27"/>
      <c r="Q581" s="27"/>
      <c r="R581" s="27"/>
    </row>
    <row r="582" spans="1:18" ht="16.350000000000001" customHeight="1" x14ac:dyDescent="0.2">
      <c r="A582" s="42"/>
      <c r="B582" s="42"/>
      <c r="C582" s="42"/>
      <c r="D582" s="41" t="s">
        <v>1</v>
      </c>
      <c r="E582" s="41" t="s">
        <v>68</v>
      </c>
      <c r="F582" s="59">
        <v>0</v>
      </c>
      <c r="G582" s="59">
        <v>999999</v>
      </c>
      <c r="H582" s="60">
        <v>0</v>
      </c>
      <c r="I582" s="61">
        <v>0.65</v>
      </c>
      <c r="J582" s="94" t="s">
        <v>357</v>
      </c>
      <c r="K582" s="94"/>
      <c r="L582" s="94"/>
      <c r="M582" s="94"/>
      <c r="N582" s="27"/>
      <c r="O582" s="27"/>
      <c r="P582" s="27"/>
      <c r="Q582" s="27"/>
      <c r="R582" s="27"/>
    </row>
    <row r="583" spans="1:18" ht="16.350000000000001" customHeight="1" x14ac:dyDescent="0.2">
      <c r="A583" s="42"/>
      <c r="B583" s="42"/>
      <c r="C583" s="42"/>
      <c r="D583" s="41" t="s">
        <v>1</v>
      </c>
      <c r="E583" s="41" t="s">
        <v>69</v>
      </c>
      <c r="F583" s="59">
        <v>0</v>
      </c>
      <c r="G583" s="59">
        <v>999999</v>
      </c>
      <c r="H583" s="60">
        <v>0</v>
      </c>
      <c r="I583" s="61">
        <v>0.75</v>
      </c>
      <c r="J583" s="94" t="s">
        <v>71</v>
      </c>
      <c r="K583" s="94"/>
      <c r="L583" s="94"/>
      <c r="M583" s="94"/>
      <c r="N583" s="27"/>
      <c r="O583" s="27"/>
      <c r="P583" s="27"/>
      <c r="Q583" s="27"/>
      <c r="R583" s="27"/>
    </row>
    <row r="584" spans="1:18" ht="16.350000000000001" customHeight="1" x14ac:dyDescent="0.2">
      <c r="A584" s="42"/>
      <c r="B584" s="42"/>
      <c r="C584" s="42"/>
      <c r="D584" s="41" t="s">
        <v>1</v>
      </c>
      <c r="E584" s="41" t="s">
        <v>70</v>
      </c>
      <c r="F584" s="59">
        <v>0</v>
      </c>
      <c r="G584" s="59">
        <v>999999</v>
      </c>
      <c r="H584" s="60">
        <v>0</v>
      </c>
      <c r="I584" s="61">
        <v>0.85</v>
      </c>
      <c r="J584" s="94" t="s">
        <v>72</v>
      </c>
      <c r="K584" s="94"/>
      <c r="L584" s="94"/>
      <c r="M584" s="94"/>
      <c r="N584" s="27"/>
      <c r="O584" s="27"/>
      <c r="P584" s="27"/>
      <c r="Q584" s="27"/>
      <c r="R584" s="27"/>
    </row>
    <row r="585" spans="1:18" ht="16.350000000000001" customHeight="1" x14ac:dyDescent="0.2">
      <c r="A585" s="42" t="s">
        <v>544</v>
      </c>
      <c r="B585" s="42" t="s">
        <v>555</v>
      </c>
      <c r="C585" s="42">
        <v>13.85</v>
      </c>
      <c r="D585" s="41" t="s">
        <v>1</v>
      </c>
      <c r="E585" s="41" t="s">
        <v>60</v>
      </c>
      <c r="F585" s="59">
        <v>0</v>
      </c>
      <c r="G585" s="59">
        <v>999999</v>
      </c>
      <c r="H585" s="60">
        <f>IF(C585="","",C585*($B$5*$C$5))</f>
        <v>12.573030000000001</v>
      </c>
      <c r="I585" s="61">
        <v>0</v>
      </c>
      <c r="J585" s="101" t="s">
        <v>531</v>
      </c>
      <c r="K585" s="102"/>
      <c r="L585" s="102"/>
      <c r="M585" s="103"/>
      <c r="N585" s="27"/>
      <c r="O585" s="27" t="s">
        <v>536</v>
      </c>
      <c r="P585" s="27"/>
      <c r="Q585" s="27"/>
      <c r="R585" s="27"/>
    </row>
    <row r="586" spans="1:18" ht="16.350000000000001" customHeight="1" x14ac:dyDescent="0.2">
      <c r="A586" s="42" t="s">
        <v>544</v>
      </c>
      <c r="B586" s="42" t="s">
        <v>556</v>
      </c>
      <c r="C586" s="43">
        <f>15.7+15.1</f>
        <v>30.799999999999997</v>
      </c>
      <c r="D586" s="41" t="s">
        <v>1</v>
      </c>
      <c r="E586" s="41" t="s">
        <v>93</v>
      </c>
      <c r="F586" s="59">
        <v>0</v>
      </c>
      <c r="G586" s="59">
        <v>999999</v>
      </c>
      <c r="H586" s="60">
        <f>IF(C586="","",C586*($B$5*$C$5))</f>
        <v>27.960239999999999</v>
      </c>
      <c r="I586" s="61">
        <v>0</v>
      </c>
      <c r="J586" s="94" t="s">
        <v>532</v>
      </c>
      <c r="K586" s="94"/>
      <c r="L586" s="94"/>
      <c r="M586" s="94"/>
      <c r="N586" s="27"/>
      <c r="O586" s="27"/>
      <c r="P586" s="27"/>
      <c r="Q586" s="27"/>
      <c r="R586" s="27"/>
    </row>
    <row r="587" spans="1:18" ht="16.350000000000001" customHeight="1" x14ac:dyDescent="0.2">
      <c r="A587" s="42" t="s">
        <v>544</v>
      </c>
      <c r="B587" s="42" t="s">
        <v>557</v>
      </c>
      <c r="C587" s="43">
        <v>17.8</v>
      </c>
      <c r="D587" s="41" t="s">
        <v>1</v>
      </c>
      <c r="E587" s="41" t="s">
        <v>61</v>
      </c>
      <c r="F587" s="59">
        <v>0</v>
      </c>
      <c r="G587" s="59">
        <v>999999</v>
      </c>
      <c r="H587" s="60">
        <f>IF(C587="","",C587*($B$5*$C$5))</f>
        <v>16.158840000000001</v>
      </c>
      <c r="I587" s="61">
        <v>0</v>
      </c>
      <c r="J587" s="94" t="s">
        <v>533</v>
      </c>
      <c r="K587" s="94"/>
      <c r="L587" s="94"/>
      <c r="M587" s="94"/>
      <c r="N587" s="27"/>
      <c r="O587" s="27"/>
      <c r="P587" s="27"/>
      <c r="Q587" s="27"/>
      <c r="R587" s="27"/>
    </row>
    <row r="588" spans="1:18" ht="16.350000000000001" customHeight="1" x14ac:dyDescent="0.2">
      <c r="A588" s="42" t="s">
        <v>544</v>
      </c>
      <c r="B588" s="42" t="s">
        <v>557</v>
      </c>
      <c r="C588" s="42">
        <f>17.8+16.75</f>
        <v>34.549999999999997</v>
      </c>
      <c r="D588" s="41" t="s">
        <v>1</v>
      </c>
      <c r="E588" s="41" t="s">
        <v>94</v>
      </c>
      <c r="F588" s="59">
        <v>0</v>
      </c>
      <c r="G588" s="59">
        <v>999999</v>
      </c>
      <c r="H588" s="60">
        <f>IF(C588="","",C588*($B$5*$C$5))</f>
        <v>31.36449</v>
      </c>
      <c r="I588" s="61">
        <v>0</v>
      </c>
      <c r="J588" s="94" t="s">
        <v>534</v>
      </c>
      <c r="K588" s="94"/>
      <c r="L588" s="94"/>
      <c r="M588" s="94"/>
      <c r="N588" s="27"/>
      <c r="O588" s="27"/>
      <c r="P588" s="27"/>
      <c r="Q588" s="27"/>
      <c r="R588" s="27"/>
    </row>
    <row r="589" spans="1:18" ht="16.350000000000001" customHeight="1" x14ac:dyDescent="0.2">
      <c r="A589" s="42" t="s">
        <v>544</v>
      </c>
      <c r="B589" s="42" t="s">
        <v>558</v>
      </c>
      <c r="C589" s="43">
        <v>22.85</v>
      </c>
      <c r="D589" s="41" t="s">
        <v>1</v>
      </c>
      <c r="E589" s="41" t="s">
        <v>62</v>
      </c>
      <c r="F589" s="59">
        <v>0</v>
      </c>
      <c r="G589" s="59">
        <v>999999</v>
      </c>
      <c r="H589" s="60">
        <f>IF(C589="","",C589*($B$5*$D$5))</f>
        <v>20.743230000000004</v>
      </c>
      <c r="I589" s="61">
        <v>0</v>
      </c>
      <c r="J589" s="94" t="s">
        <v>535</v>
      </c>
      <c r="K589" s="94"/>
      <c r="L589" s="94"/>
      <c r="M589" s="94"/>
      <c r="N589" s="27"/>
      <c r="O589" s="27"/>
      <c r="P589" s="27"/>
      <c r="Q589" s="27"/>
      <c r="R589" s="27"/>
    </row>
    <row r="590" spans="1:18" ht="16.350000000000001" customHeight="1" x14ac:dyDescent="0.2">
      <c r="A590" s="42" t="s">
        <v>544</v>
      </c>
      <c r="B590" s="42" t="s">
        <v>559</v>
      </c>
      <c r="C590" s="43">
        <f>26+26</f>
        <v>52</v>
      </c>
      <c r="D590" s="41" t="s">
        <v>1</v>
      </c>
      <c r="E590" s="41" t="s">
        <v>95</v>
      </c>
      <c r="F590" s="59">
        <v>0</v>
      </c>
      <c r="G590" s="59">
        <v>999999</v>
      </c>
      <c r="H590" s="60">
        <f>IF(C590="","",C590*($B$5*$D$5))</f>
        <v>47.205600000000004</v>
      </c>
      <c r="I590" s="61">
        <v>0</v>
      </c>
      <c r="J590" s="94" t="s">
        <v>538</v>
      </c>
      <c r="K590" s="94"/>
      <c r="L590" s="94"/>
      <c r="M590" s="94"/>
      <c r="N590" s="27"/>
      <c r="O590" s="27"/>
      <c r="P590" s="27"/>
      <c r="Q590" s="27"/>
      <c r="R590" s="27"/>
    </row>
    <row r="591" spans="1:18" ht="16.350000000000001" customHeight="1" x14ac:dyDescent="0.2">
      <c r="A591" s="42" t="s">
        <v>544</v>
      </c>
      <c r="B591" s="42" t="s">
        <v>560</v>
      </c>
      <c r="C591" s="43">
        <v>29.5</v>
      </c>
      <c r="D591" s="41" t="s">
        <v>1</v>
      </c>
      <c r="E591" s="41" t="s">
        <v>63</v>
      </c>
      <c r="F591" s="59">
        <v>0</v>
      </c>
      <c r="G591" s="59">
        <v>999999</v>
      </c>
      <c r="H591" s="60">
        <f>IF(C591="","",C591*($B$5*$D$5))</f>
        <v>26.780100000000001</v>
      </c>
      <c r="I591" s="61">
        <v>0</v>
      </c>
      <c r="J591" s="94" t="s">
        <v>539</v>
      </c>
      <c r="K591" s="94"/>
      <c r="L591" s="94"/>
      <c r="M591" s="94"/>
      <c r="N591" s="27"/>
      <c r="O591" s="27"/>
      <c r="P591" s="27"/>
      <c r="Q591" s="27"/>
      <c r="R591" s="27"/>
    </row>
    <row r="592" spans="1:18" ht="16.350000000000001" customHeight="1" x14ac:dyDescent="0.2">
      <c r="A592" s="42" t="s">
        <v>544</v>
      </c>
      <c r="B592" s="42" t="s">
        <v>560</v>
      </c>
      <c r="C592" s="43">
        <f>29.5+44</f>
        <v>73.5</v>
      </c>
      <c r="D592" s="41" t="s">
        <v>1</v>
      </c>
      <c r="E592" s="41" t="s">
        <v>96</v>
      </c>
      <c r="F592" s="59">
        <v>0</v>
      </c>
      <c r="G592" s="59">
        <v>999999</v>
      </c>
      <c r="H592" s="60">
        <f>IF(C592="","",C592*($B$5*$D$5))</f>
        <v>66.723300000000009</v>
      </c>
      <c r="I592" s="61">
        <v>0</v>
      </c>
      <c r="J592" s="94" t="s">
        <v>537</v>
      </c>
      <c r="K592" s="94"/>
      <c r="L592" s="94"/>
      <c r="M592" s="94"/>
      <c r="N592" s="27"/>
      <c r="O592" s="27"/>
      <c r="P592" s="27"/>
      <c r="Q592" s="27"/>
      <c r="R592" s="27"/>
    </row>
    <row r="593" spans="1:18" ht="16.350000000000001" customHeight="1" x14ac:dyDescent="0.2">
      <c r="A593" s="42" t="s">
        <v>392</v>
      </c>
      <c r="B593" s="42"/>
      <c r="C593" s="42"/>
      <c r="D593" s="41" t="s">
        <v>40</v>
      </c>
      <c r="E593" s="41" t="s">
        <v>53</v>
      </c>
      <c r="F593" s="59">
        <v>0</v>
      </c>
      <c r="G593" s="59">
        <v>999999</v>
      </c>
      <c r="H593" s="60">
        <v>10</v>
      </c>
      <c r="I593" s="61">
        <v>0</v>
      </c>
      <c r="J593" s="94" t="s">
        <v>113</v>
      </c>
      <c r="K593" s="94"/>
      <c r="L593" s="94"/>
      <c r="M593" s="94"/>
      <c r="N593" s="27"/>
      <c r="O593" s="27" t="s">
        <v>510</v>
      </c>
      <c r="P593" s="27"/>
      <c r="Q593" s="27"/>
      <c r="R593" s="27"/>
    </row>
    <row r="594" spans="1:18" ht="16.350000000000001" customHeight="1" x14ac:dyDescent="0.2">
      <c r="A594" s="42" t="s">
        <v>392</v>
      </c>
      <c r="B594" s="42"/>
      <c r="C594" s="42"/>
      <c r="D594" s="41" t="s">
        <v>40</v>
      </c>
      <c r="E594" s="41" t="s">
        <v>78</v>
      </c>
      <c r="F594" s="59">
        <v>0</v>
      </c>
      <c r="G594" s="59">
        <v>999999</v>
      </c>
      <c r="H594" s="60">
        <v>12.5</v>
      </c>
      <c r="I594" s="61">
        <v>0</v>
      </c>
      <c r="J594" s="94" t="s">
        <v>114</v>
      </c>
      <c r="K594" s="94"/>
      <c r="L594" s="94"/>
      <c r="M594" s="94"/>
      <c r="N594" s="27"/>
      <c r="O594" s="27"/>
      <c r="P594" s="27"/>
      <c r="Q594" s="27"/>
      <c r="R594" s="27"/>
    </row>
    <row r="595" spans="1:18" ht="16.350000000000001" customHeight="1" x14ac:dyDescent="0.2">
      <c r="A595" s="42" t="s">
        <v>392</v>
      </c>
      <c r="B595" s="42"/>
      <c r="C595" s="42"/>
      <c r="D595" s="41" t="s">
        <v>40</v>
      </c>
      <c r="E595" s="41" t="s">
        <v>64</v>
      </c>
      <c r="F595" s="59">
        <v>0</v>
      </c>
      <c r="G595" s="59">
        <v>999999</v>
      </c>
      <c r="H595" s="60">
        <v>5</v>
      </c>
      <c r="I595" s="61">
        <v>0</v>
      </c>
      <c r="J595" s="94" t="s">
        <v>105</v>
      </c>
      <c r="K595" s="94"/>
      <c r="L595" s="94"/>
      <c r="M595" s="94"/>
      <c r="N595" s="27"/>
      <c r="O595" s="27"/>
      <c r="P595" s="27"/>
      <c r="Q595" s="27"/>
      <c r="R595" s="27"/>
    </row>
    <row r="596" spans="1:18" ht="16.350000000000001" customHeight="1" x14ac:dyDescent="0.2">
      <c r="A596" s="42" t="s">
        <v>392</v>
      </c>
      <c r="B596" s="42"/>
      <c r="C596" s="42"/>
      <c r="D596" s="41" t="s">
        <v>40</v>
      </c>
      <c r="E596" s="41" t="s">
        <v>65</v>
      </c>
      <c r="F596" s="59">
        <v>0</v>
      </c>
      <c r="G596" s="59">
        <v>999999</v>
      </c>
      <c r="H596" s="60">
        <v>8</v>
      </c>
      <c r="I596" s="61">
        <v>0</v>
      </c>
      <c r="J596" s="94" t="s">
        <v>106</v>
      </c>
      <c r="K596" s="94"/>
      <c r="L596" s="94"/>
      <c r="M596" s="94"/>
      <c r="N596" s="27"/>
      <c r="O596" s="27"/>
      <c r="P596" s="27"/>
      <c r="Q596" s="27"/>
      <c r="R596" s="27"/>
    </row>
    <row r="597" spans="1:18" ht="16.350000000000001" customHeight="1" x14ac:dyDescent="0.2">
      <c r="A597" s="42" t="s">
        <v>392</v>
      </c>
      <c r="B597" s="42"/>
      <c r="C597" s="42"/>
      <c r="D597" s="41" t="s">
        <v>40</v>
      </c>
      <c r="E597" s="41" t="s">
        <v>47</v>
      </c>
      <c r="F597" s="59">
        <v>0</v>
      </c>
      <c r="G597" s="59">
        <v>999999</v>
      </c>
      <c r="H597" s="60">
        <v>5.5</v>
      </c>
      <c r="I597" s="61">
        <v>0</v>
      </c>
      <c r="J597" s="94" t="s">
        <v>107</v>
      </c>
      <c r="K597" s="94"/>
      <c r="L597" s="94"/>
      <c r="M597" s="94"/>
      <c r="N597" s="27"/>
      <c r="O597" s="27"/>
      <c r="P597" s="27"/>
      <c r="Q597" s="27"/>
      <c r="R597" s="27"/>
    </row>
    <row r="598" spans="1:18" ht="16.350000000000001" customHeight="1" x14ac:dyDescent="0.2">
      <c r="A598" s="42" t="s">
        <v>392</v>
      </c>
      <c r="B598" s="42"/>
      <c r="C598" s="42"/>
      <c r="D598" s="41" t="s">
        <v>40</v>
      </c>
      <c r="E598" s="41" t="s">
        <v>50</v>
      </c>
      <c r="F598" s="59">
        <v>0</v>
      </c>
      <c r="G598" s="59">
        <v>999999</v>
      </c>
      <c r="H598" s="60">
        <v>8.5</v>
      </c>
      <c r="I598" s="61">
        <v>0</v>
      </c>
      <c r="J598" s="94" t="s">
        <v>108</v>
      </c>
      <c r="K598" s="94"/>
      <c r="L598" s="94"/>
      <c r="M598" s="94"/>
      <c r="N598" s="27"/>
      <c r="O598" s="27"/>
      <c r="P598" s="27"/>
      <c r="Q598" s="27"/>
      <c r="R598" s="27"/>
    </row>
    <row r="599" spans="1:18" ht="16.350000000000001" customHeight="1" x14ac:dyDescent="0.2">
      <c r="A599" s="42" t="s">
        <v>392</v>
      </c>
      <c r="B599" s="42"/>
      <c r="C599" s="42"/>
      <c r="D599" s="41" t="s">
        <v>40</v>
      </c>
      <c r="E599" s="41" t="s">
        <v>48</v>
      </c>
      <c r="F599" s="59">
        <v>0</v>
      </c>
      <c r="G599" s="59">
        <v>999999</v>
      </c>
      <c r="H599" s="60">
        <v>6</v>
      </c>
      <c r="I599" s="61">
        <v>0</v>
      </c>
      <c r="J599" s="94" t="s">
        <v>109</v>
      </c>
      <c r="K599" s="94"/>
      <c r="L599" s="94"/>
      <c r="M599" s="94"/>
      <c r="N599" s="27"/>
      <c r="O599" s="27"/>
      <c r="P599" s="27"/>
      <c r="Q599" s="27"/>
      <c r="R599" s="27"/>
    </row>
    <row r="600" spans="1:18" ht="16.350000000000001" customHeight="1" x14ac:dyDescent="0.2">
      <c r="A600" s="42" t="s">
        <v>392</v>
      </c>
      <c r="B600" s="42"/>
      <c r="C600" s="42"/>
      <c r="D600" s="41" t="s">
        <v>40</v>
      </c>
      <c r="E600" s="41" t="s">
        <v>51</v>
      </c>
      <c r="F600" s="59">
        <v>0</v>
      </c>
      <c r="G600" s="59">
        <v>999999</v>
      </c>
      <c r="H600" s="60">
        <v>9</v>
      </c>
      <c r="I600" s="61">
        <v>0</v>
      </c>
      <c r="J600" s="94" t="s">
        <v>110</v>
      </c>
      <c r="K600" s="94"/>
      <c r="L600" s="94"/>
      <c r="M600" s="94"/>
      <c r="N600" s="27"/>
      <c r="O600" s="27"/>
      <c r="P600" s="27"/>
      <c r="Q600" s="27"/>
      <c r="R600" s="27"/>
    </row>
    <row r="601" spans="1:18" ht="16.350000000000001" customHeight="1" x14ac:dyDescent="0.2">
      <c r="A601" s="42" t="s">
        <v>392</v>
      </c>
      <c r="B601" s="42"/>
      <c r="C601" s="42"/>
      <c r="D601" s="41" t="s">
        <v>40</v>
      </c>
      <c r="E601" s="41" t="s">
        <v>49</v>
      </c>
      <c r="F601" s="59">
        <v>0</v>
      </c>
      <c r="G601" s="59">
        <v>999999</v>
      </c>
      <c r="H601" s="60">
        <v>6.5</v>
      </c>
      <c r="I601" s="61">
        <v>0</v>
      </c>
      <c r="J601" s="94" t="s">
        <v>111</v>
      </c>
      <c r="K601" s="94"/>
      <c r="L601" s="94"/>
      <c r="M601" s="94"/>
      <c r="N601" s="27"/>
      <c r="O601" s="27"/>
      <c r="P601" s="27"/>
      <c r="Q601" s="27"/>
      <c r="R601" s="27"/>
    </row>
    <row r="602" spans="1:18" ht="16.350000000000001" customHeight="1" x14ac:dyDescent="0.2">
      <c r="A602" s="42" t="s">
        <v>392</v>
      </c>
      <c r="B602" s="42"/>
      <c r="C602" s="42"/>
      <c r="D602" s="41" t="s">
        <v>40</v>
      </c>
      <c r="E602" s="41" t="s">
        <v>52</v>
      </c>
      <c r="F602" s="59">
        <v>0</v>
      </c>
      <c r="G602" s="59">
        <v>999999</v>
      </c>
      <c r="H602" s="60">
        <v>9.5</v>
      </c>
      <c r="I602" s="61">
        <v>0</v>
      </c>
      <c r="J602" s="94" t="s">
        <v>112</v>
      </c>
      <c r="K602" s="94"/>
      <c r="L602" s="94"/>
      <c r="M602" s="94"/>
      <c r="N602" s="27"/>
      <c r="O602" s="27"/>
      <c r="P602" s="27"/>
      <c r="Q602" s="27"/>
      <c r="R602" s="27"/>
    </row>
    <row r="603" spans="1:18" ht="16.350000000000001" customHeight="1" x14ac:dyDescent="0.2">
      <c r="A603" s="42" t="s">
        <v>392</v>
      </c>
      <c r="B603" s="42"/>
      <c r="C603" s="42"/>
      <c r="D603" s="41" t="s">
        <v>40</v>
      </c>
      <c r="E603" s="41" t="s">
        <v>202</v>
      </c>
      <c r="F603" s="59">
        <v>0</v>
      </c>
      <c r="G603" s="59">
        <v>999999</v>
      </c>
      <c r="H603" s="60">
        <v>18.75</v>
      </c>
      <c r="I603" s="61">
        <v>0</v>
      </c>
      <c r="J603" s="94" t="s">
        <v>358</v>
      </c>
      <c r="K603" s="94"/>
      <c r="L603" s="94"/>
      <c r="M603" s="94"/>
      <c r="N603" s="27"/>
      <c r="O603" s="27"/>
      <c r="P603" s="27"/>
      <c r="Q603" s="27"/>
      <c r="R603" s="27"/>
    </row>
    <row r="604" spans="1:18" ht="16.350000000000001" customHeight="1" x14ac:dyDescent="0.2">
      <c r="A604" s="42" t="s">
        <v>392</v>
      </c>
      <c r="B604" s="42"/>
      <c r="C604" s="42"/>
      <c r="D604" s="41" t="s">
        <v>40</v>
      </c>
      <c r="E604" s="41" t="s">
        <v>203</v>
      </c>
      <c r="F604" s="59">
        <v>0</v>
      </c>
      <c r="G604" s="59">
        <v>999999</v>
      </c>
      <c r="H604" s="60">
        <v>26.25</v>
      </c>
      <c r="I604" s="61">
        <v>0</v>
      </c>
      <c r="J604" s="94" t="s">
        <v>359</v>
      </c>
      <c r="K604" s="94"/>
      <c r="L604" s="94"/>
      <c r="M604" s="94"/>
      <c r="N604" s="27"/>
      <c r="O604" s="27"/>
      <c r="P604" s="27"/>
      <c r="Q604" s="27"/>
      <c r="R604" s="27"/>
    </row>
    <row r="605" spans="1:18" ht="16.350000000000001" customHeight="1" x14ac:dyDescent="0.2">
      <c r="A605" s="42" t="s">
        <v>392</v>
      </c>
      <c r="B605" s="42"/>
      <c r="C605" s="42"/>
      <c r="D605" s="41" t="s">
        <v>40</v>
      </c>
      <c r="E605" s="41" t="s">
        <v>67</v>
      </c>
      <c r="F605" s="59">
        <v>0</v>
      </c>
      <c r="G605" s="59">
        <v>0</v>
      </c>
      <c r="H605" s="60">
        <v>4</v>
      </c>
      <c r="I605" s="61">
        <v>0</v>
      </c>
      <c r="J605" s="94" t="s">
        <v>99</v>
      </c>
      <c r="K605" s="94"/>
      <c r="L605" s="94"/>
      <c r="M605" s="94"/>
      <c r="N605" s="27"/>
      <c r="O605" s="27"/>
      <c r="P605" s="27"/>
      <c r="Q605" s="27"/>
      <c r="R605" s="27"/>
    </row>
    <row r="606" spans="1:18" ht="16.350000000000001" customHeight="1" x14ac:dyDescent="0.2">
      <c r="A606" s="42" t="s">
        <v>392</v>
      </c>
      <c r="B606" s="42"/>
      <c r="C606" s="42"/>
      <c r="D606" s="41" t="s">
        <v>40</v>
      </c>
      <c r="E606" s="41" t="s">
        <v>66</v>
      </c>
      <c r="F606" s="59">
        <v>0</v>
      </c>
      <c r="G606" s="59">
        <v>999999</v>
      </c>
      <c r="H606" s="60">
        <v>7</v>
      </c>
      <c r="I606" s="61">
        <v>0</v>
      </c>
      <c r="J606" s="94" t="s">
        <v>100</v>
      </c>
      <c r="K606" s="94"/>
      <c r="L606" s="94"/>
      <c r="M606" s="94"/>
      <c r="N606" s="27"/>
      <c r="O606" s="27"/>
      <c r="P606" s="27"/>
      <c r="Q606" s="27"/>
      <c r="R606" s="27"/>
    </row>
    <row r="607" spans="1:18" ht="16.350000000000001" customHeight="1" x14ac:dyDescent="0.2">
      <c r="A607" s="42" t="s">
        <v>392</v>
      </c>
      <c r="B607" s="42"/>
      <c r="C607" s="42"/>
      <c r="D607" s="41" t="s">
        <v>40</v>
      </c>
      <c r="E607" s="41" t="s">
        <v>41</v>
      </c>
      <c r="F607" s="59">
        <v>0</v>
      </c>
      <c r="G607" s="59">
        <v>999999</v>
      </c>
      <c r="H607" s="60">
        <v>4.5</v>
      </c>
      <c r="I607" s="61">
        <v>0</v>
      </c>
      <c r="J607" s="94" t="s">
        <v>101</v>
      </c>
      <c r="K607" s="94"/>
      <c r="L607" s="94"/>
      <c r="M607" s="94"/>
      <c r="N607" s="27"/>
      <c r="O607" s="27"/>
      <c r="P607" s="27"/>
      <c r="Q607" s="27"/>
      <c r="R607" s="27"/>
    </row>
    <row r="608" spans="1:18" ht="16.350000000000001" customHeight="1" x14ac:dyDescent="0.2">
      <c r="A608" s="42" t="s">
        <v>392</v>
      </c>
      <c r="B608" s="42"/>
      <c r="C608" s="42"/>
      <c r="D608" s="41" t="s">
        <v>40</v>
      </c>
      <c r="E608" s="41" t="s">
        <v>44</v>
      </c>
      <c r="F608" s="59">
        <v>0</v>
      </c>
      <c r="G608" s="59">
        <v>999999</v>
      </c>
      <c r="H608" s="60">
        <v>7.5</v>
      </c>
      <c r="I608" s="61">
        <v>0</v>
      </c>
      <c r="J608" s="94" t="s">
        <v>102</v>
      </c>
      <c r="K608" s="94"/>
      <c r="L608" s="94"/>
      <c r="M608" s="94"/>
      <c r="N608" s="27"/>
      <c r="O608" s="27"/>
      <c r="P608" s="27"/>
      <c r="Q608" s="27"/>
      <c r="R608" s="27"/>
    </row>
    <row r="609" spans="1:18" ht="16.350000000000001" customHeight="1" x14ac:dyDescent="0.2">
      <c r="A609" s="42" t="s">
        <v>392</v>
      </c>
      <c r="B609" s="42"/>
      <c r="C609" s="42"/>
      <c r="D609" s="41" t="s">
        <v>40</v>
      </c>
      <c r="E609" s="41" t="s">
        <v>42</v>
      </c>
      <c r="F609" s="59">
        <v>0</v>
      </c>
      <c r="G609" s="59">
        <v>999999</v>
      </c>
      <c r="H609" s="60">
        <v>5</v>
      </c>
      <c r="I609" s="61">
        <v>0</v>
      </c>
      <c r="J609" s="94" t="s">
        <v>103</v>
      </c>
      <c r="K609" s="94"/>
      <c r="L609" s="94"/>
      <c r="M609" s="94"/>
      <c r="N609" s="27"/>
      <c r="O609" s="27"/>
      <c r="P609" s="27"/>
      <c r="Q609" s="27"/>
      <c r="R609" s="27"/>
    </row>
    <row r="610" spans="1:18" ht="16.350000000000001" customHeight="1" x14ac:dyDescent="0.2">
      <c r="A610" s="42" t="s">
        <v>392</v>
      </c>
      <c r="B610" s="42"/>
      <c r="C610" s="42"/>
      <c r="D610" s="41" t="s">
        <v>40</v>
      </c>
      <c r="E610" s="41" t="s">
        <v>45</v>
      </c>
      <c r="F610" s="59">
        <v>0</v>
      </c>
      <c r="G610" s="59">
        <v>999999</v>
      </c>
      <c r="H610" s="60">
        <v>8</v>
      </c>
      <c r="I610" s="61">
        <v>0</v>
      </c>
      <c r="J610" s="94" t="s">
        <v>104</v>
      </c>
      <c r="K610" s="94"/>
      <c r="L610" s="94"/>
      <c r="M610" s="94"/>
      <c r="N610" s="27"/>
      <c r="O610" s="27"/>
      <c r="P610" s="27"/>
      <c r="Q610" s="27"/>
      <c r="R610" s="27"/>
    </row>
    <row r="611" spans="1:18" ht="16.350000000000001" customHeight="1" x14ac:dyDescent="0.2">
      <c r="A611" s="42" t="s">
        <v>392</v>
      </c>
      <c r="B611" s="42"/>
      <c r="C611" s="42"/>
      <c r="D611" s="41" t="s">
        <v>40</v>
      </c>
      <c r="E611" s="41" t="s">
        <v>43</v>
      </c>
      <c r="F611" s="59">
        <v>0</v>
      </c>
      <c r="G611" s="59">
        <v>999999</v>
      </c>
      <c r="H611" s="60">
        <v>5.5</v>
      </c>
      <c r="I611" s="61">
        <v>0</v>
      </c>
      <c r="J611" s="94" t="s">
        <v>98</v>
      </c>
      <c r="K611" s="94"/>
      <c r="L611" s="94"/>
      <c r="M611" s="94"/>
      <c r="N611" s="27"/>
      <c r="O611" s="27"/>
      <c r="P611" s="27"/>
      <c r="Q611" s="27"/>
      <c r="R611" s="27"/>
    </row>
    <row r="612" spans="1:18" ht="16.350000000000001" customHeight="1" x14ac:dyDescent="0.2">
      <c r="A612" s="42" t="s">
        <v>392</v>
      </c>
      <c r="B612" s="42"/>
      <c r="C612" s="42"/>
      <c r="D612" s="41" t="s">
        <v>40</v>
      </c>
      <c r="E612" s="41" t="s">
        <v>46</v>
      </c>
      <c r="F612" s="59">
        <v>0</v>
      </c>
      <c r="G612" s="59">
        <v>999999</v>
      </c>
      <c r="H612" s="60">
        <v>8.5</v>
      </c>
      <c r="I612" s="61">
        <v>0</v>
      </c>
      <c r="J612" s="94" t="s">
        <v>97</v>
      </c>
      <c r="K612" s="94"/>
      <c r="L612" s="94"/>
      <c r="M612" s="94"/>
      <c r="N612" s="27"/>
      <c r="O612" s="27"/>
      <c r="P612" s="27"/>
      <c r="Q612" s="27"/>
      <c r="R612" s="27"/>
    </row>
  </sheetData>
  <mergeCells count="585">
    <mergeCell ref="A484:C484"/>
    <mergeCell ref="A485:C485"/>
    <mergeCell ref="A486:C486"/>
    <mergeCell ref="A487:C487"/>
    <mergeCell ref="A479:C479"/>
    <mergeCell ref="A480:C480"/>
    <mergeCell ref="A481:C481"/>
    <mergeCell ref="A482:C482"/>
    <mergeCell ref="A483:C483"/>
    <mergeCell ref="A324:C324"/>
    <mergeCell ref="A325:C325"/>
    <mergeCell ref="A326:C326"/>
    <mergeCell ref="A327:C327"/>
    <mergeCell ref="A478:C478"/>
    <mergeCell ref="A463:C463"/>
    <mergeCell ref="A460:C460"/>
    <mergeCell ref="A461:C461"/>
    <mergeCell ref="A459:C459"/>
    <mergeCell ref="A462:C462"/>
    <mergeCell ref="A457:C457"/>
    <mergeCell ref="A458:C458"/>
    <mergeCell ref="A435:C435"/>
    <mergeCell ref="A436:C436"/>
    <mergeCell ref="A437:C437"/>
    <mergeCell ref="A438:C438"/>
    <mergeCell ref="A441:C441"/>
    <mergeCell ref="A442:C442"/>
    <mergeCell ref="A443:C443"/>
    <mergeCell ref="A454:C454"/>
    <mergeCell ref="A455:C455"/>
    <mergeCell ref="A456:C456"/>
    <mergeCell ref="A439:C439"/>
    <mergeCell ref="A440:C440"/>
    <mergeCell ref="A416:C416"/>
    <mergeCell ref="A413:C413"/>
    <mergeCell ref="A414:C414"/>
    <mergeCell ref="A415:C415"/>
    <mergeCell ref="A281:C281"/>
    <mergeCell ref="A282:C282"/>
    <mergeCell ref="A283:C283"/>
    <mergeCell ref="A434:C434"/>
    <mergeCell ref="A298:C298"/>
    <mergeCell ref="A299:C299"/>
    <mergeCell ref="A300:C300"/>
    <mergeCell ref="A301:C301"/>
    <mergeCell ref="A321:C321"/>
    <mergeCell ref="A322:C322"/>
    <mergeCell ref="A417:C417"/>
    <mergeCell ref="A418:C418"/>
    <mergeCell ref="A419:C419"/>
    <mergeCell ref="A302:C302"/>
    <mergeCell ref="A303:C303"/>
    <mergeCell ref="A304:C304"/>
    <mergeCell ref="A305:C305"/>
    <mergeCell ref="A306:C306"/>
    <mergeCell ref="A307:C307"/>
    <mergeCell ref="A320:C320"/>
    <mergeCell ref="A255:C255"/>
    <mergeCell ref="A256:C256"/>
    <mergeCell ref="A257:C257"/>
    <mergeCell ref="A258:C258"/>
    <mergeCell ref="A259:C259"/>
    <mergeCell ref="A274:C274"/>
    <mergeCell ref="A410:C410"/>
    <mergeCell ref="A411:C411"/>
    <mergeCell ref="A412:C412"/>
    <mergeCell ref="A390:C390"/>
    <mergeCell ref="A391:C391"/>
    <mergeCell ref="A392:C392"/>
    <mergeCell ref="A393:C393"/>
    <mergeCell ref="A394:C394"/>
    <mergeCell ref="A395:C395"/>
    <mergeCell ref="A275:C275"/>
    <mergeCell ref="A276:C276"/>
    <mergeCell ref="A277:C277"/>
    <mergeCell ref="A278:C278"/>
    <mergeCell ref="A279:C279"/>
    <mergeCell ref="A280:C280"/>
    <mergeCell ref="A318:C318"/>
    <mergeCell ref="A319:C319"/>
    <mergeCell ref="A323:C323"/>
    <mergeCell ref="L5:L6"/>
    <mergeCell ref="M5:M6"/>
    <mergeCell ref="N5:N6"/>
    <mergeCell ref="C1:N1"/>
    <mergeCell ref="C2:J2"/>
    <mergeCell ref="C3:D3"/>
    <mergeCell ref="L2:N2"/>
    <mergeCell ref="J31:M31"/>
    <mergeCell ref="J32:M32"/>
    <mergeCell ref="E15:L15"/>
    <mergeCell ref="E16:L16"/>
    <mergeCell ref="E17:L17"/>
    <mergeCell ref="A9:D9"/>
    <mergeCell ref="E9:L9"/>
    <mergeCell ref="E10:L10"/>
    <mergeCell ref="E11:L11"/>
    <mergeCell ref="E12:L12"/>
    <mergeCell ref="E13:L13"/>
    <mergeCell ref="E14:L14"/>
    <mergeCell ref="J33:M33"/>
    <mergeCell ref="J34:M34"/>
    <mergeCell ref="J35:M35"/>
    <mergeCell ref="J36:M36"/>
    <mergeCell ref="J37:M37"/>
    <mergeCell ref="J38:M38"/>
    <mergeCell ref="J39:M39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  <mergeCell ref="J50:M50"/>
    <mergeCell ref="J51:M51"/>
    <mergeCell ref="J52:M52"/>
    <mergeCell ref="J53:M53"/>
    <mergeCell ref="J54:M54"/>
    <mergeCell ref="J55:M55"/>
    <mergeCell ref="J56:M56"/>
    <mergeCell ref="J57:M57"/>
    <mergeCell ref="J58:M58"/>
    <mergeCell ref="J59:M59"/>
    <mergeCell ref="J60:M60"/>
    <mergeCell ref="J61:M61"/>
    <mergeCell ref="J62:M62"/>
    <mergeCell ref="J63:M63"/>
    <mergeCell ref="J66:M66"/>
    <mergeCell ref="J67:M67"/>
    <mergeCell ref="J68:M68"/>
    <mergeCell ref="J69:M69"/>
    <mergeCell ref="J70:M70"/>
    <mergeCell ref="J65:M65"/>
    <mergeCell ref="J71:M71"/>
    <mergeCell ref="J72:M72"/>
    <mergeCell ref="J73:M73"/>
    <mergeCell ref="J74:M74"/>
    <mergeCell ref="J75:M75"/>
    <mergeCell ref="J76:M76"/>
    <mergeCell ref="J77:M77"/>
    <mergeCell ref="J78:M78"/>
    <mergeCell ref="J79:M79"/>
    <mergeCell ref="J80:M80"/>
    <mergeCell ref="J81:M81"/>
    <mergeCell ref="J82:M82"/>
    <mergeCell ref="J83:M83"/>
    <mergeCell ref="J84:M84"/>
    <mergeCell ref="J85:M85"/>
    <mergeCell ref="A389:C389"/>
    <mergeCell ref="A251:C251"/>
    <mergeCell ref="A252:C252"/>
    <mergeCell ref="A253:C253"/>
    <mergeCell ref="A254:C254"/>
    <mergeCell ref="J86:M86"/>
    <mergeCell ref="J87:M87"/>
    <mergeCell ref="J88:M88"/>
    <mergeCell ref="J89:M89"/>
    <mergeCell ref="J90:M90"/>
    <mergeCell ref="J91:M91"/>
    <mergeCell ref="J92:M92"/>
    <mergeCell ref="J93:M93"/>
    <mergeCell ref="J94:M94"/>
    <mergeCell ref="J95:M95"/>
    <mergeCell ref="J96:M96"/>
    <mergeCell ref="J100:M100"/>
    <mergeCell ref="J101:M101"/>
    <mergeCell ref="J102:M102"/>
    <mergeCell ref="J103:M103"/>
    <mergeCell ref="J104:M104"/>
    <mergeCell ref="J105:M105"/>
    <mergeCell ref="J106:M106"/>
    <mergeCell ref="J107:M107"/>
    <mergeCell ref="J204:M204"/>
    <mergeCell ref="J205:M205"/>
    <mergeCell ref="J206:M206"/>
    <mergeCell ref="J203:M203"/>
    <mergeCell ref="J110:M110"/>
    <mergeCell ref="J131:M133"/>
    <mergeCell ref="J141:M143"/>
    <mergeCell ref="J121:M124"/>
    <mergeCell ref="J111:M114"/>
    <mergeCell ref="J153:M153"/>
    <mergeCell ref="J154:M157"/>
    <mergeCell ref="J164:M167"/>
    <mergeCell ref="J174:M176"/>
    <mergeCell ref="J184:M186"/>
    <mergeCell ref="J207:M207"/>
    <mergeCell ref="J208:M208"/>
    <mergeCell ref="J220:M220"/>
    <mergeCell ref="J209:M209"/>
    <mergeCell ref="J210:M210"/>
    <mergeCell ref="J211:M211"/>
    <mergeCell ref="J212:M212"/>
    <mergeCell ref="J213:M213"/>
    <mergeCell ref="J214:M214"/>
    <mergeCell ref="J221:M221"/>
    <mergeCell ref="J222:M222"/>
    <mergeCell ref="J223:M223"/>
    <mergeCell ref="J230:M230"/>
    <mergeCell ref="J231:M231"/>
    <mergeCell ref="J215:M215"/>
    <mergeCell ref="J216:M216"/>
    <mergeCell ref="J217:M217"/>
    <mergeCell ref="J218:M218"/>
    <mergeCell ref="J219:M219"/>
    <mergeCell ref="J229:M229"/>
    <mergeCell ref="J232:M232"/>
    <mergeCell ref="J233:M233"/>
    <mergeCell ref="J234:M234"/>
    <mergeCell ref="J235:M235"/>
    <mergeCell ref="J236:M236"/>
    <mergeCell ref="J237:M237"/>
    <mergeCell ref="J238:M238"/>
    <mergeCell ref="J239:M239"/>
    <mergeCell ref="J240:M240"/>
    <mergeCell ref="J241:M241"/>
    <mergeCell ref="J242:M242"/>
    <mergeCell ref="J243:M243"/>
    <mergeCell ref="J244:M244"/>
    <mergeCell ref="J245:M245"/>
    <mergeCell ref="J246:M246"/>
    <mergeCell ref="J247:M247"/>
    <mergeCell ref="J248:M248"/>
    <mergeCell ref="J249:M249"/>
    <mergeCell ref="J250:M250"/>
    <mergeCell ref="J251:M251"/>
    <mergeCell ref="J252:M252"/>
    <mergeCell ref="J253:M253"/>
    <mergeCell ref="J254:M254"/>
    <mergeCell ref="J255:M255"/>
    <mergeCell ref="J256:M256"/>
    <mergeCell ref="J257:M257"/>
    <mergeCell ref="J258:M258"/>
    <mergeCell ref="J259:M259"/>
    <mergeCell ref="J264:M264"/>
    <mergeCell ref="J265:M265"/>
    <mergeCell ref="J277:M277"/>
    <mergeCell ref="J266:M266"/>
    <mergeCell ref="J267:M267"/>
    <mergeCell ref="J268:M268"/>
    <mergeCell ref="J269:M269"/>
    <mergeCell ref="J270:M270"/>
    <mergeCell ref="J271:M271"/>
    <mergeCell ref="J263:M263"/>
    <mergeCell ref="J278:M278"/>
    <mergeCell ref="J279:M279"/>
    <mergeCell ref="J280:M280"/>
    <mergeCell ref="J281:M281"/>
    <mergeCell ref="J282:M282"/>
    <mergeCell ref="J272:M272"/>
    <mergeCell ref="J273:M273"/>
    <mergeCell ref="J274:M274"/>
    <mergeCell ref="J275:M275"/>
    <mergeCell ref="J276:M276"/>
    <mergeCell ref="J283:M283"/>
    <mergeCell ref="J284:M284"/>
    <mergeCell ref="J285:M285"/>
    <mergeCell ref="J286:M286"/>
    <mergeCell ref="J287:M287"/>
    <mergeCell ref="J288:M288"/>
    <mergeCell ref="J289:M289"/>
    <mergeCell ref="J290:M290"/>
    <mergeCell ref="J291:M291"/>
    <mergeCell ref="J292:M292"/>
    <mergeCell ref="J293:M293"/>
    <mergeCell ref="J298:M298"/>
    <mergeCell ref="J299:M299"/>
    <mergeCell ref="J300:M300"/>
    <mergeCell ref="J301:M301"/>
    <mergeCell ref="J302:M302"/>
    <mergeCell ref="J303:M303"/>
    <mergeCell ref="J304:M304"/>
    <mergeCell ref="J297:M297"/>
    <mergeCell ref="J305:M305"/>
    <mergeCell ref="J306:M306"/>
    <mergeCell ref="J307:M307"/>
    <mergeCell ref="J308:M308"/>
    <mergeCell ref="J309:M309"/>
    <mergeCell ref="J310:M310"/>
    <mergeCell ref="J322:M322"/>
    <mergeCell ref="J311:M311"/>
    <mergeCell ref="J312:M312"/>
    <mergeCell ref="J313:M313"/>
    <mergeCell ref="J314:M314"/>
    <mergeCell ref="J315:M315"/>
    <mergeCell ref="J316:M316"/>
    <mergeCell ref="J323:M323"/>
    <mergeCell ref="J324:M324"/>
    <mergeCell ref="J325:M325"/>
    <mergeCell ref="J326:M326"/>
    <mergeCell ref="J327:M327"/>
    <mergeCell ref="J317:M317"/>
    <mergeCell ref="J318:M318"/>
    <mergeCell ref="J319:M319"/>
    <mergeCell ref="J320:M320"/>
    <mergeCell ref="J321:M321"/>
    <mergeCell ref="J350:M350"/>
    <mergeCell ref="J351:M351"/>
    <mergeCell ref="J352:M352"/>
    <mergeCell ref="J353:M353"/>
    <mergeCell ref="J332:M332"/>
    <mergeCell ref="J333:M333"/>
    <mergeCell ref="J334:M334"/>
    <mergeCell ref="J335:M335"/>
    <mergeCell ref="J336:M336"/>
    <mergeCell ref="J337:M337"/>
    <mergeCell ref="J338:M338"/>
    <mergeCell ref="J339:M339"/>
    <mergeCell ref="J340:M340"/>
    <mergeCell ref="J341:M341"/>
    <mergeCell ref="J342:M342"/>
    <mergeCell ref="J343:M343"/>
    <mergeCell ref="J344:M344"/>
    <mergeCell ref="J345:M345"/>
    <mergeCell ref="J346:M346"/>
    <mergeCell ref="J347:M347"/>
    <mergeCell ref="J348:M348"/>
    <mergeCell ref="J349:M349"/>
    <mergeCell ref="J354:M354"/>
    <mergeCell ref="J355:M355"/>
    <mergeCell ref="J404:M404"/>
    <mergeCell ref="J405:M405"/>
    <mergeCell ref="J406:M406"/>
    <mergeCell ref="J407:M407"/>
    <mergeCell ref="J408:M408"/>
    <mergeCell ref="J409:M409"/>
    <mergeCell ref="J416:M416"/>
    <mergeCell ref="J370:M370"/>
    <mergeCell ref="J356:M356"/>
    <mergeCell ref="J357:M357"/>
    <mergeCell ref="J358:M358"/>
    <mergeCell ref="J359:M359"/>
    <mergeCell ref="J360:M360"/>
    <mergeCell ref="J361:M361"/>
    <mergeCell ref="J366:M366"/>
    <mergeCell ref="J367:M367"/>
    <mergeCell ref="J368:M368"/>
    <mergeCell ref="J369:M369"/>
    <mergeCell ref="J385:M385"/>
    <mergeCell ref="J386:M386"/>
    <mergeCell ref="J387:M387"/>
    <mergeCell ref="J400:M400"/>
    <mergeCell ref="J426:M426"/>
    <mergeCell ref="J433:M433"/>
    <mergeCell ref="J401:M401"/>
    <mergeCell ref="J402:M402"/>
    <mergeCell ref="J403:M403"/>
    <mergeCell ref="J388:M388"/>
    <mergeCell ref="J389:M389"/>
    <mergeCell ref="J390:M390"/>
    <mergeCell ref="J391:M391"/>
    <mergeCell ref="J392:M392"/>
    <mergeCell ref="J393:M393"/>
    <mergeCell ref="J395:M395"/>
    <mergeCell ref="J468:M468"/>
    <mergeCell ref="J469:M469"/>
    <mergeCell ref="J455:M455"/>
    <mergeCell ref="J456:M456"/>
    <mergeCell ref="J457:M457"/>
    <mergeCell ref="J458:M458"/>
    <mergeCell ref="J459:M459"/>
    <mergeCell ref="J443:M443"/>
    <mergeCell ref="J444:M444"/>
    <mergeCell ref="J445:M445"/>
    <mergeCell ref="J446:M446"/>
    <mergeCell ref="J447:M447"/>
    <mergeCell ref="J448:M448"/>
    <mergeCell ref="J460:M460"/>
    <mergeCell ref="J449:M449"/>
    <mergeCell ref="J450:M450"/>
    <mergeCell ref="J451:M451"/>
    <mergeCell ref="J452:M452"/>
    <mergeCell ref="J453:M453"/>
    <mergeCell ref="J454:M454"/>
    <mergeCell ref="J467:M467"/>
    <mergeCell ref="J470:M470"/>
    <mergeCell ref="J471:M471"/>
    <mergeCell ref="J472:M472"/>
    <mergeCell ref="J473:M473"/>
    <mergeCell ref="J474:M474"/>
    <mergeCell ref="J475:M475"/>
    <mergeCell ref="J476:M476"/>
    <mergeCell ref="J477:M477"/>
    <mergeCell ref="J478:M478"/>
    <mergeCell ref="J493:M493"/>
    <mergeCell ref="J494:M494"/>
    <mergeCell ref="J495:M495"/>
    <mergeCell ref="J496:M496"/>
    <mergeCell ref="J479:M479"/>
    <mergeCell ref="J480:M480"/>
    <mergeCell ref="J481:M481"/>
    <mergeCell ref="J482:M482"/>
    <mergeCell ref="J483:M483"/>
    <mergeCell ref="J484:M484"/>
    <mergeCell ref="J485:M485"/>
    <mergeCell ref="J486:M486"/>
    <mergeCell ref="J487:M487"/>
    <mergeCell ref="J509:M509"/>
    <mergeCell ref="J510:M510"/>
    <mergeCell ref="J511:M511"/>
    <mergeCell ref="J512:M512"/>
    <mergeCell ref="J513:M513"/>
    <mergeCell ref="A239:C239"/>
    <mergeCell ref="A250:C250"/>
    <mergeCell ref="A386:C386"/>
    <mergeCell ref="A387:C387"/>
    <mergeCell ref="A388:C388"/>
    <mergeCell ref="J497:M497"/>
    <mergeCell ref="J498:M498"/>
    <mergeCell ref="J502:M502"/>
    <mergeCell ref="J503:M503"/>
    <mergeCell ref="J504:M504"/>
    <mergeCell ref="J505:M505"/>
    <mergeCell ref="J506:M506"/>
    <mergeCell ref="J507:M507"/>
    <mergeCell ref="J508:M508"/>
    <mergeCell ref="J488:M488"/>
    <mergeCell ref="J489:M489"/>
    <mergeCell ref="J490:M490"/>
    <mergeCell ref="J491:M491"/>
    <mergeCell ref="J492:M492"/>
    <mergeCell ref="J514:M514"/>
    <mergeCell ref="J515:M515"/>
    <mergeCell ref="J516:M516"/>
    <mergeCell ref="J517:M517"/>
    <mergeCell ref="J518:M518"/>
    <mergeCell ref="J519:M519"/>
    <mergeCell ref="J520:M520"/>
    <mergeCell ref="J521:M521"/>
    <mergeCell ref="J522:M522"/>
    <mergeCell ref="J523:M523"/>
    <mergeCell ref="J524:M524"/>
    <mergeCell ref="J525:M525"/>
    <mergeCell ref="J526:M526"/>
    <mergeCell ref="J527:M527"/>
    <mergeCell ref="J528:M528"/>
    <mergeCell ref="J529:M529"/>
    <mergeCell ref="J530:M530"/>
    <mergeCell ref="J531:M531"/>
    <mergeCell ref="J549:M549"/>
    <mergeCell ref="J550:M550"/>
    <mergeCell ref="J551:M551"/>
    <mergeCell ref="J532:M532"/>
    <mergeCell ref="J533:M533"/>
    <mergeCell ref="J536:M536"/>
    <mergeCell ref="J537:M537"/>
    <mergeCell ref="J538:M538"/>
    <mergeCell ref="J539:M539"/>
    <mergeCell ref="J540:M540"/>
    <mergeCell ref="J541:M541"/>
    <mergeCell ref="J542:M542"/>
    <mergeCell ref="J561:M561"/>
    <mergeCell ref="J562:M562"/>
    <mergeCell ref="A234:C234"/>
    <mergeCell ref="A235:C235"/>
    <mergeCell ref="A236:C236"/>
    <mergeCell ref="A237:C237"/>
    <mergeCell ref="A238:C238"/>
    <mergeCell ref="J563:M563"/>
    <mergeCell ref="J564:M564"/>
    <mergeCell ref="J552:M552"/>
    <mergeCell ref="J553:M553"/>
    <mergeCell ref="J554:M554"/>
    <mergeCell ref="J555:M555"/>
    <mergeCell ref="J556:M556"/>
    <mergeCell ref="J557:M557"/>
    <mergeCell ref="J558:M558"/>
    <mergeCell ref="J559:M559"/>
    <mergeCell ref="J560:M560"/>
    <mergeCell ref="J543:M543"/>
    <mergeCell ref="J544:M544"/>
    <mergeCell ref="J545:M545"/>
    <mergeCell ref="J546:M546"/>
    <mergeCell ref="J547:M547"/>
    <mergeCell ref="J548:M548"/>
    <mergeCell ref="J589:M589"/>
    <mergeCell ref="J590:M590"/>
    <mergeCell ref="J565:M565"/>
    <mergeCell ref="J570:M570"/>
    <mergeCell ref="J571:M571"/>
    <mergeCell ref="J572:M572"/>
    <mergeCell ref="J573:M573"/>
    <mergeCell ref="J574:M574"/>
    <mergeCell ref="J575:M575"/>
    <mergeCell ref="J576:M576"/>
    <mergeCell ref="J577:M577"/>
    <mergeCell ref="J569:M569"/>
    <mergeCell ref="J578:M578"/>
    <mergeCell ref="J579:M579"/>
    <mergeCell ref="J580:M580"/>
    <mergeCell ref="J581:M581"/>
    <mergeCell ref="J582:M582"/>
    <mergeCell ref="J583:M583"/>
    <mergeCell ref="J584:M584"/>
    <mergeCell ref="J585:M585"/>
    <mergeCell ref="J586:M586"/>
    <mergeCell ref="J587:M587"/>
    <mergeCell ref="J588:M588"/>
    <mergeCell ref="J598:M598"/>
    <mergeCell ref="J599:M599"/>
    <mergeCell ref="J600:M600"/>
    <mergeCell ref="J601:M601"/>
    <mergeCell ref="J602:M602"/>
    <mergeCell ref="J591:M591"/>
    <mergeCell ref="J592:M592"/>
    <mergeCell ref="J593:M593"/>
    <mergeCell ref="J594:M594"/>
    <mergeCell ref="J595:M595"/>
    <mergeCell ref="J596:M596"/>
    <mergeCell ref="J610:M610"/>
    <mergeCell ref="J611:M611"/>
    <mergeCell ref="J612:M612"/>
    <mergeCell ref="A230:C230"/>
    <mergeCell ref="A231:C231"/>
    <mergeCell ref="A232:C232"/>
    <mergeCell ref="A233:C233"/>
    <mergeCell ref="J603:M603"/>
    <mergeCell ref="J604:M604"/>
    <mergeCell ref="J608:M608"/>
    <mergeCell ref="J609:M609"/>
    <mergeCell ref="J605:M605"/>
    <mergeCell ref="J606:M606"/>
    <mergeCell ref="J607:M607"/>
    <mergeCell ref="J597:M597"/>
    <mergeCell ref="J399:M399"/>
    <mergeCell ref="J501:M501"/>
    <mergeCell ref="J535:M535"/>
    <mergeCell ref="J461:M461"/>
    <mergeCell ref="J462:M462"/>
    <mergeCell ref="J463:M463"/>
    <mergeCell ref="J435:M435"/>
    <mergeCell ref="J436:M436"/>
    <mergeCell ref="J440:M440"/>
    <mergeCell ref="J441:M441"/>
    <mergeCell ref="J442:M442"/>
    <mergeCell ref="J99:M99"/>
    <mergeCell ref="E18:L18"/>
    <mergeCell ref="E19:L19"/>
    <mergeCell ref="E20:L20"/>
    <mergeCell ref="E21:L21"/>
    <mergeCell ref="E22:L22"/>
    <mergeCell ref="J394:M394"/>
    <mergeCell ref="J376:M376"/>
    <mergeCell ref="J377:M377"/>
    <mergeCell ref="J378:M378"/>
    <mergeCell ref="J379:M379"/>
    <mergeCell ref="J380:M380"/>
    <mergeCell ref="J381:M381"/>
    <mergeCell ref="J382:M382"/>
    <mergeCell ref="J383:M383"/>
    <mergeCell ref="J384:M384"/>
    <mergeCell ref="J371:M371"/>
    <mergeCell ref="J372:M372"/>
    <mergeCell ref="J427:M427"/>
    <mergeCell ref="J428:M428"/>
    <mergeCell ref="J429:M429"/>
    <mergeCell ref="J373:M373"/>
    <mergeCell ref="J374:M374"/>
    <mergeCell ref="J375:M375"/>
    <mergeCell ref="J362:M362"/>
    <mergeCell ref="J331:M331"/>
    <mergeCell ref="J365:M365"/>
    <mergeCell ref="J437:M437"/>
    <mergeCell ref="J438:M438"/>
    <mergeCell ref="J439:M439"/>
    <mergeCell ref="J434:M434"/>
    <mergeCell ref="J418:M418"/>
    <mergeCell ref="J419:M419"/>
    <mergeCell ref="J420:M420"/>
    <mergeCell ref="J410:M410"/>
    <mergeCell ref="J411:M411"/>
    <mergeCell ref="J412:M412"/>
    <mergeCell ref="J413:M413"/>
    <mergeCell ref="J414:M414"/>
    <mergeCell ref="J421:M421"/>
    <mergeCell ref="J415:M415"/>
    <mergeCell ref="J417:M417"/>
    <mergeCell ref="J422:M422"/>
    <mergeCell ref="J423:M423"/>
    <mergeCell ref="J424:M424"/>
    <mergeCell ref="J425:M425"/>
  </mergeCells>
  <phoneticPr fontId="0" type="noConversion"/>
  <pageMargins left="1" right="0.25" top="0.75" bottom="0.25" header="0.3" footer="0.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226A-A046-4B51-BA95-D410D1C6045C}">
  <dimension ref="A1:G241"/>
  <sheetViews>
    <sheetView topLeftCell="A210" workbookViewId="0">
      <selection activeCell="F1" sqref="F1:F1048576"/>
    </sheetView>
  </sheetViews>
  <sheetFormatPr defaultRowHeight="12.75" x14ac:dyDescent="0.2"/>
  <cols>
    <col min="1" max="1" width="25.140625" customWidth="1"/>
    <col min="2" max="2" width="14.28515625" style="1" customWidth="1"/>
    <col min="3" max="3" width="22" customWidth="1"/>
    <col min="4" max="4" width="39" customWidth="1"/>
    <col min="6" max="6" width="12.7109375" hidden="1" customWidth="1"/>
  </cols>
  <sheetData>
    <row r="1" spans="1:6" ht="31.5" customHeight="1" x14ac:dyDescent="0.4">
      <c r="A1" s="9" t="s">
        <v>339</v>
      </c>
      <c r="F1" s="18" t="s">
        <v>458</v>
      </c>
    </row>
    <row r="2" spans="1:6" ht="15" customHeight="1" x14ac:dyDescent="0.4">
      <c r="A2" s="9"/>
    </row>
    <row r="3" spans="1:6" s="5" customFormat="1" ht="15" customHeight="1" x14ac:dyDescent="0.3">
      <c r="A3" s="15" t="s">
        <v>31</v>
      </c>
      <c r="B3" s="16" t="s">
        <v>32</v>
      </c>
      <c r="C3" s="17" t="s">
        <v>33</v>
      </c>
      <c r="D3" s="15" t="s">
        <v>34</v>
      </c>
    </row>
    <row r="4" spans="1:6" s="5" customFormat="1" ht="15" customHeight="1" x14ac:dyDescent="0.25">
      <c r="A4" s="4" t="s">
        <v>320</v>
      </c>
      <c r="B4" s="11"/>
      <c r="C4" s="7"/>
      <c r="D4" s="4"/>
    </row>
    <row r="5" spans="1:6" s="5" customFormat="1" ht="15" customHeight="1" x14ac:dyDescent="0.25">
      <c r="A5" s="4" t="s">
        <v>204</v>
      </c>
      <c r="B5" s="12">
        <f>+'BLDG COST'!O12*'BLDG COST'!B5*'BLDG COST'!C5</f>
        <v>6.7925170015748044</v>
      </c>
      <c r="C5" s="7" t="s">
        <v>35</v>
      </c>
      <c r="D5" s="4" t="s">
        <v>265</v>
      </c>
      <c r="F5" s="5" t="s">
        <v>511</v>
      </c>
    </row>
    <row r="6" spans="1:6" s="5" customFormat="1" ht="15" customHeight="1" x14ac:dyDescent="0.25">
      <c r="A6" s="4" t="s">
        <v>205</v>
      </c>
      <c r="B6" s="12">
        <f>+'BLDG COST'!O13*'BLDG COST'!B5*'BLDG COST'!C5</f>
        <v>7.2401124377952781</v>
      </c>
      <c r="C6" s="7" t="s">
        <v>35</v>
      </c>
      <c r="D6" s="4" t="s">
        <v>268</v>
      </c>
    </row>
    <row r="7" spans="1:6" s="5" customFormat="1" ht="15" customHeight="1" x14ac:dyDescent="0.25">
      <c r="A7" s="4" t="s">
        <v>206</v>
      </c>
      <c r="B7" s="12">
        <f>+'BLDG COST'!O14*'BLDG COST'!B5*'BLDG COST'!C5</f>
        <v>7.6877078740157501</v>
      </c>
      <c r="C7" s="7" t="s">
        <v>35</v>
      </c>
      <c r="D7" s="4" t="s">
        <v>266</v>
      </c>
    </row>
    <row r="8" spans="1:6" s="5" customFormat="1" ht="15" customHeight="1" x14ac:dyDescent="0.25">
      <c r="A8" s="4" t="s">
        <v>207</v>
      </c>
      <c r="B8" s="12">
        <f>+'BLDG COST'!O15*'BLDG COST'!B5*'BLDG COST'!C5</f>
        <v>8.1831379370078743</v>
      </c>
      <c r="C8" s="7" t="s">
        <v>35</v>
      </c>
      <c r="D8" s="4" t="s">
        <v>267</v>
      </c>
    </row>
    <row r="9" spans="1:6" s="5" customFormat="1" ht="15" customHeight="1" x14ac:dyDescent="0.25">
      <c r="A9" s="4" t="s">
        <v>208</v>
      </c>
      <c r="B9" s="12">
        <f>+'BLDG COST'!O16*'BLDG COST'!B5*'BLDG COST'!C5</f>
        <v>8.6785680000000003</v>
      </c>
      <c r="C9" s="7" t="s">
        <v>35</v>
      </c>
      <c r="D9" s="4" t="s">
        <v>269</v>
      </c>
    </row>
    <row r="10" spans="1:6" s="5" customFormat="1" ht="15" customHeight="1" x14ac:dyDescent="0.25">
      <c r="A10" s="4" t="s">
        <v>209</v>
      </c>
      <c r="B10" s="12">
        <f>+'BLDG COST'!O17*'BLDG COST'!B5*'BLDG COST'!C5</f>
        <v>9.191081858267717</v>
      </c>
      <c r="C10" s="7" t="s">
        <v>35</v>
      </c>
      <c r="D10" s="4" t="s">
        <v>270</v>
      </c>
    </row>
    <row r="11" spans="1:6" s="5" customFormat="1" ht="15" customHeight="1" x14ac:dyDescent="0.25">
      <c r="A11" s="4" t="s">
        <v>210</v>
      </c>
      <c r="B11" s="12">
        <f>+'BLDG COST'!O18*'BLDG COST'!B5*'BLDG COST'!C5</f>
        <v>9.7035957165354336</v>
      </c>
      <c r="C11" s="7" t="s">
        <v>35</v>
      </c>
      <c r="D11" s="4" t="s">
        <v>271</v>
      </c>
    </row>
    <row r="12" spans="1:6" s="5" customFormat="1" ht="15" customHeight="1" x14ac:dyDescent="0.25">
      <c r="A12" s="4" t="s">
        <v>211</v>
      </c>
      <c r="B12" s="12">
        <f>+'BLDG COST'!O19*'BLDG COST'!B5*'BLDG COST'!C5</f>
        <v>10.335696141732283</v>
      </c>
      <c r="C12" s="7" t="s">
        <v>35</v>
      </c>
      <c r="D12" s="4" t="s">
        <v>272</v>
      </c>
    </row>
    <row r="13" spans="1:6" s="5" customFormat="1" ht="15" customHeight="1" x14ac:dyDescent="0.25">
      <c r="A13" s="4" t="s">
        <v>212</v>
      </c>
      <c r="B13" s="12">
        <f>+'BLDG COST'!O20*'BLDG COST'!B5*'BLDG COST'!C5</f>
        <v>10.967796566929138</v>
      </c>
      <c r="C13" s="7" t="s">
        <v>35</v>
      </c>
      <c r="D13" s="4" t="s">
        <v>273</v>
      </c>
    </row>
    <row r="14" spans="1:6" s="5" customFormat="1" ht="15" customHeight="1" x14ac:dyDescent="0.25">
      <c r="A14" s="4" t="s">
        <v>213</v>
      </c>
      <c r="B14" s="12">
        <f>+'BLDG COST'!O21*'BLDG COST'!B5*'BLDG COST'!C5</f>
        <v>11.73656735433071</v>
      </c>
      <c r="C14" s="7" t="s">
        <v>35</v>
      </c>
      <c r="D14" s="4" t="s">
        <v>274</v>
      </c>
    </row>
    <row r="15" spans="1:6" s="5" customFormat="1" ht="15" customHeight="1" x14ac:dyDescent="0.25">
      <c r="A15" s="4" t="s">
        <v>214</v>
      </c>
      <c r="B15" s="12">
        <f>+'BLDG COST'!O22*'BLDG COST'!B5*'BLDG COST'!C5</f>
        <v>12.505338141732286</v>
      </c>
      <c r="C15" s="7" t="s">
        <v>35</v>
      </c>
      <c r="D15" s="4" t="s">
        <v>275</v>
      </c>
    </row>
    <row r="16" spans="1:6" s="5" customFormat="1" ht="15" customHeight="1" x14ac:dyDescent="0.25">
      <c r="A16" s="4" t="s">
        <v>581</v>
      </c>
      <c r="B16" s="12">
        <v>3500</v>
      </c>
      <c r="C16" s="7" t="s">
        <v>604</v>
      </c>
      <c r="D16" s="4" t="s">
        <v>579</v>
      </c>
    </row>
    <row r="17" spans="1:6" s="5" customFormat="1" ht="15" customHeight="1" x14ac:dyDescent="0.25">
      <c r="A17" s="4" t="s">
        <v>582</v>
      </c>
      <c r="B17" s="12">
        <v>4500</v>
      </c>
      <c r="C17" s="7" t="s">
        <v>604</v>
      </c>
      <c r="D17" s="4" t="s">
        <v>580</v>
      </c>
    </row>
    <row r="18" spans="1:6" s="5" customFormat="1" ht="15" customHeight="1" x14ac:dyDescent="0.25">
      <c r="A18" s="4" t="s">
        <v>321</v>
      </c>
      <c r="B18" s="12"/>
      <c r="C18" s="7"/>
      <c r="D18" s="4"/>
    </row>
    <row r="19" spans="1:6" s="5" customFormat="1" ht="15" customHeight="1" x14ac:dyDescent="0.25">
      <c r="A19" s="4" t="s">
        <v>149</v>
      </c>
      <c r="B19" s="12">
        <f>1970*'BLDG COST'!B5*'BLDG COST'!C5</f>
        <v>1788.366</v>
      </c>
      <c r="C19" s="7" t="s">
        <v>73</v>
      </c>
      <c r="D19" s="4" t="s">
        <v>276</v>
      </c>
      <c r="F19" s="5" t="s">
        <v>512</v>
      </c>
    </row>
    <row r="20" spans="1:6" s="5" customFormat="1" ht="15" customHeight="1" x14ac:dyDescent="0.25">
      <c r="A20" s="4" t="s">
        <v>150</v>
      </c>
      <c r="B20" s="13">
        <f>($B$23-$B$19)/4+B19</f>
        <v>1976.7345</v>
      </c>
      <c r="C20" s="7" t="s">
        <v>73</v>
      </c>
      <c r="D20" s="4" t="s">
        <v>277</v>
      </c>
    </row>
    <row r="21" spans="1:6" s="5" customFormat="1" ht="15" customHeight="1" x14ac:dyDescent="0.25">
      <c r="A21" s="4" t="s">
        <v>151</v>
      </c>
      <c r="B21" s="13">
        <f>($B$23-$B$19)/4+B20</f>
        <v>2165.1030000000001</v>
      </c>
      <c r="C21" s="7" t="s">
        <v>73</v>
      </c>
      <c r="D21" s="4" t="s">
        <v>278</v>
      </c>
      <c r="F21" s="6"/>
    </row>
    <row r="22" spans="1:6" s="5" customFormat="1" ht="15" customHeight="1" x14ac:dyDescent="0.25">
      <c r="A22" s="4" t="s">
        <v>152</v>
      </c>
      <c r="B22" s="13">
        <f>($B$23-$B$19)/4+B21</f>
        <v>2353.4715000000001</v>
      </c>
      <c r="C22" s="7" t="s">
        <v>73</v>
      </c>
      <c r="D22" s="4" t="s">
        <v>279</v>
      </c>
    </row>
    <row r="23" spans="1:6" s="5" customFormat="1" ht="15" customHeight="1" x14ac:dyDescent="0.25">
      <c r="A23" s="4" t="s">
        <v>153</v>
      </c>
      <c r="B23" s="12">
        <f>2800*'BLDG COST'!B5*'BLDG COST'!C5</f>
        <v>2541.84</v>
      </c>
      <c r="C23" s="7" t="s">
        <v>73</v>
      </c>
      <c r="D23" s="4" t="s">
        <v>280</v>
      </c>
      <c r="F23" s="6"/>
    </row>
    <row r="24" spans="1:6" s="5" customFormat="1" ht="15" customHeight="1" x14ac:dyDescent="0.25">
      <c r="A24" s="4" t="s">
        <v>154</v>
      </c>
      <c r="B24" s="13">
        <f>(B23+B25)/2</f>
        <v>3052.4775</v>
      </c>
      <c r="C24" s="7" t="s">
        <v>73</v>
      </c>
      <c r="D24" s="4" t="s">
        <v>281</v>
      </c>
      <c r="F24" s="6"/>
    </row>
    <row r="25" spans="1:6" s="5" customFormat="1" ht="15" customHeight="1" x14ac:dyDescent="0.25">
      <c r="A25" s="4" t="s">
        <v>155</v>
      </c>
      <c r="B25" s="12">
        <f>3925*'BLDG COST'!B5*'BLDG COST'!C5</f>
        <v>3563.1150000000002</v>
      </c>
      <c r="C25" s="7" t="s">
        <v>73</v>
      </c>
      <c r="D25" s="4" t="s">
        <v>282</v>
      </c>
      <c r="F25" s="6"/>
    </row>
    <row r="26" spans="1:6" s="5" customFormat="1" ht="15" customHeight="1" x14ac:dyDescent="0.25">
      <c r="A26" s="4" t="s">
        <v>156</v>
      </c>
      <c r="B26" s="13">
        <f>($B$29-$B$25)/4+B25</f>
        <v>3943.2562500000004</v>
      </c>
      <c r="C26" s="7" t="s">
        <v>73</v>
      </c>
      <c r="D26" s="4" t="s">
        <v>283</v>
      </c>
      <c r="F26" s="6"/>
    </row>
    <row r="27" spans="1:6" s="5" customFormat="1" ht="15" customHeight="1" x14ac:dyDescent="0.25">
      <c r="A27" s="4" t="s">
        <v>157</v>
      </c>
      <c r="B27" s="13">
        <f>($B$29-$B$25)/4+B26</f>
        <v>4323.3975</v>
      </c>
      <c r="C27" s="7" t="s">
        <v>73</v>
      </c>
      <c r="D27" s="4" t="s">
        <v>284</v>
      </c>
    </row>
    <row r="28" spans="1:6" s="5" customFormat="1" ht="15" customHeight="1" x14ac:dyDescent="0.25">
      <c r="A28" s="4" t="s">
        <v>158</v>
      </c>
      <c r="B28" s="13">
        <f>($B$29-$B$25)/4+B27</f>
        <v>4703.5387499999997</v>
      </c>
      <c r="C28" s="7" t="s">
        <v>73</v>
      </c>
      <c r="D28" s="4" t="s">
        <v>285</v>
      </c>
    </row>
    <row r="29" spans="1:6" s="5" customFormat="1" ht="15" customHeight="1" x14ac:dyDescent="0.25">
      <c r="A29" s="4" t="s">
        <v>159</v>
      </c>
      <c r="B29" s="12">
        <f>5600*'BLDG COST'!B5*'BLDG COST'!C5</f>
        <v>5083.68</v>
      </c>
      <c r="C29" s="7" t="s">
        <v>73</v>
      </c>
      <c r="D29" s="4" t="s">
        <v>286</v>
      </c>
    </row>
    <row r="30" spans="1:6" s="5" customFormat="1" ht="15" customHeight="1" x14ac:dyDescent="0.25">
      <c r="A30" s="4" t="s">
        <v>322</v>
      </c>
      <c r="B30" s="12"/>
      <c r="C30" s="7"/>
      <c r="D30" s="4"/>
    </row>
    <row r="31" spans="1:6" s="5" customFormat="1" ht="15" customHeight="1" x14ac:dyDescent="0.25">
      <c r="A31" s="4" t="s">
        <v>160</v>
      </c>
      <c r="B31" s="12">
        <f>3700*'BLDG COST'!B5*'BLDG COST'!C5</f>
        <v>3358.86</v>
      </c>
      <c r="C31" s="7" t="s">
        <v>73</v>
      </c>
      <c r="D31" s="4" t="s">
        <v>287</v>
      </c>
    </row>
    <row r="32" spans="1:6" s="5" customFormat="1" ht="15" customHeight="1" x14ac:dyDescent="0.25">
      <c r="A32" s="4" t="s">
        <v>161</v>
      </c>
      <c r="B32" s="13">
        <f>($B$35-$B$31)/4+B31</f>
        <v>3767.37</v>
      </c>
      <c r="C32" s="7" t="s">
        <v>73</v>
      </c>
      <c r="D32" s="4" t="s">
        <v>288</v>
      </c>
    </row>
    <row r="33" spans="1:6" s="5" customFormat="1" ht="15" customHeight="1" x14ac:dyDescent="0.25">
      <c r="A33" s="4" t="s">
        <v>162</v>
      </c>
      <c r="B33" s="13">
        <f>($B$35-$B$31)/4+B32</f>
        <v>4175.88</v>
      </c>
      <c r="C33" s="7" t="s">
        <v>73</v>
      </c>
      <c r="D33" s="4" t="s">
        <v>289</v>
      </c>
    </row>
    <row r="34" spans="1:6" s="5" customFormat="1" ht="15" customHeight="1" x14ac:dyDescent="0.25">
      <c r="A34" s="4" t="s">
        <v>163</v>
      </c>
      <c r="B34" s="13">
        <f>($B$35-$B$31)/4+B33</f>
        <v>4584.3900000000003</v>
      </c>
      <c r="C34" s="7" t="s">
        <v>73</v>
      </c>
      <c r="D34" s="4" t="s">
        <v>290</v>
      </c>
    </row>
    <row r="35" spans="1:6" s="5" customFormat="1" ht="15" customHeight="1" x14ac:dyDescent="0.25">
      <c r="A35" s="4" t="s">
        <v>164</v>
      </c>
      <c r="B35" s="12">
        <f>5500*'BLDG COST'!B5*'BLDG COST'!C5</f>
        <v>4992.8999999999996</v>
      </c>
      <c r="C35" s="7" t="s">
        <v>73</v>
      </c>
      <c r="D35" s="4" t="s">
        <v>291</v>
      </c>
    </row>
    <row r="36" spans="1:6" s="5" customFormat="1" ht="15" customHeight="1" x14ac:dyDescent="0.25">
      <c r="A36" s="4" t="s">
        <v>165</v>
      </c>
      <c r="B36" s="13">
        <f t="shared" ref="B36:B41" si="0">($B$35-$B$31)/4+B35</f>
        <v>5401.41</v>
      </c>
      <c r="C36" s="7" t="s">
        <v>73</v>
      </c>
      <c r="D36" s="4" t="s">
        <v>292</v>
      </c>
    </row>
    <row r="37" spans="1:6" s="5" customFormat="1" ht="15" customHeight="1" x14ac:dyDescent="0.25">
      <c r="A37" s="4" t="s">
        <v>166</v>
      </c>
      <c r="B37" s="13">
        <f t="shared" si="0"/>
        <v>5809.92</v>
      </c>
      <c r="C37" s="7" t="s">
        <v>73</v>
      </c>
      <c r="D37" s="4" t="s">
        <v>293</v>
      </c>
    </row>
    <row r="38" spans="1:6" s="5" customFormat="1" ht="15" customHeight="1" x14ac:dyDescent="0.25">
      <c r="A38" s="4" t="s">
        <v>167</v>
      </c>
      <c r="B38" s="13">
        <f t="shared" si="0"/>
        <v>6218.43</v>
      </c>
      <c r="C38" s="7" t="s">
        <v>73</v>
      </c>
      <c r="D38" s="4" t="s">
        <v>294</v>
      </c>
    </row>
    <row r="39" spans="1:6" s="5" customFormat="1" ht="15" customHeight="1" x14ac:dyDescent="0.25">
      <c r="A39" s="4" t="s">
        <v>168</v>
      </c>
      <c r="B39" s="13">
        <f t="shared" si="0"/>
        <v>6626.9400000000005</v>
      </c>
      <c r="C39" s="7" t="s">
        <v>73</v>
      </c>
      <c r="D39" s="4" t="s">
        <v>295</v>
      </c>
    </row>
    <row r="40" spans="1:6" s="5" customFormat="1" ht="15" customHeight="1" x14ac:dyDescent="0.25">
      <c r="A40" s="4" t="s">
        <v>169</v>
      </c>
      <c r="B40" s="13">
        <f t="shared" si="0"/>
        <v>7035.4500000000007</v>
      </c>
      <c r="C40" s="7" t="s">
        <v>73</v>
      </c>
      <c r="D40" s="4" t="s">
        <v>296</v>
      </c>
    </row>
    <row r="41" spans="1:6" s="5" customFormat="1" ht="15" customHeight="1" x14ac:dyDescent="0.25">
      <c r="A41" s="4" t="s">
        <v>170</v>
      </c>
      <c r="B41" s="13">
        <f t="shared" si="0"/>
        <v>7443.9600000000009</v>
      </c>
      <c r="C41" s="7" t="s">
        <v>73</v>
      </c>
      <c r="D41" s="4" t="s">
        <v>297</v>
      </c>
    </row>
    <row r="42" spans="1:6" s="5" customFormat="1" ht="15" customHeight="1" x14ac:dyDescent="0.25">
      <c r="B42" s="14"/>
      <c r="C42" s="8"/>
    </row>
    <row r="43" spans="1:6" s="5" customFormat="1" ht="15" customHeight="1" x14ac:dyDescent="0.25">
      <c r="B43" s="14"/>
      <c r="C43" s="8"/>
    </row>
    <row r="44" spans="1:6" s="5" customFormat="1" ht="15" customHeight="1" x14ac:dyDescent="0.25">
      <c r="B44" s="14"/>
      <c r="C44" s="8"/>
    </row>
    <row r="45" spans="1:6" s="5" customFormat="1" ht="15" customHeight="1" x14ac:dyDescent="0.25">
      <c r="B45" s="14"/>
      <c r="C45" s="8"/>
    </row>
    <row r="46" spans="1:6" s="5" customFormat="1" ht="15" customHeight="1" x14ac:dyDescent="0.3">
      <c r="A46" s="15" t="s">
        <v>31</v>
      </c>
      <c r="B46" s="16" t="s">
        <v>32</v>
      </c>
      <c r="C46" s="17" t="s">
        <v>33</v>
      </c>
      <c r="D46" s="15" t="s">
        <v>34</v>
      </c>
    </row>
    <row r="47" spans="1:6" s="5" customFormat="1" ht="15" customHeight="1" x14ac:dyDescent="0.25">
      <c r="A47" s="4" t="s">
        <v>323</v>
      </c>
      <c r="B47" s="12"/>
      <c r="C47" s="7"/>
      <c r="D47" s="4"/>
    </row>
    <row r="48" spans="1:6" s="5" customFormat="1" ht="15" customHeight="1" x14ac:dyDescent="0.25">
      <c r="A48" s="4" t="s">
        <v>215</v>
      </c>
      <c r="B48" s="12">
        <f>(1970+439)*'BLDG COST'!B5*'BLDG COST'!C5</f>
        <v>2186.8902000000003</v>
      </c>
      <c r="C48" s="7" t="s">
        <v>73</v>
      </c>
      <c r="D48" s="4" t="s">
        <v>298</v>
      </c>
      <c r="F48" s="5" t="s">
        <v>512</v>
      </c>
    </row>
    <row r="49" spans="1:4" s="5" customFormat="1" ht="15" customHeight="1" x14ac:dyDescent="0.25">
      <c r="A49" s="4" t="s">
        <v>216</v>
      </c>
      <c r="B49" s="13">
        <f>($B$52-$B$48)/4+B48</f>
        <v>2426.5494000000003</v>
      </c>
      <c r="C49" s="7" t="s">
        <v>73</v>
      </c>
      <c r="D49" s="4" t="s">
        <v>299</v>
      </c>
    </row>
    <row r="50" spans="1:4" s="5" customFormat="1" ht="15" customHeight="1" x14ac:dyDescent="0.25">
      <c r="A50" s="4" t="s">
        <v>217</v>
      </c>
      <c r="B50" s="13">
        <f>($B$52-$B$48)/4+B49</f>
        <v>2666.2086000000004</v>
      </c>
      <c r="C50" s="7" t="s">
        <v>73</v>
      </c>
      <c r="D50" s="4" t="s">
        <v>300</v>
      </c>
    </row>
    <row r="51" spans="1:4" s="5" customFormat="1" ht="15" customHeight="1" x14ac:dyDescent="0.25">
      <c r="A51" s="4" t="s">
        <v>218</v>
      </c>
      <c r="B51" s="13">
        <f>($B$52-$B$48)/4+B50</f>
        <v>2905.8678000000004</v>
      </c>
      <c r="C51" s="7" t="s">
        <v>73</v>
      </c>
      <c r="D51" s="4" t="s">
        <v>301</v>
      </c>
    </row>
    <row r="52" spans="1:4" s="5" customFormat="1" ht="15" customHeight="1" x14ac:dyDescent="0.25">
      <c r="A52" s="4" t="s">
        <v>219</v>
      </c>
      <c r="B52" s="12">
        <f>(2800+665)*'BLDG COST'!B5*'BLDG COST'!C5</f>
        <v>3145.527</v>
      </c>
      <c r="C52" s="7" t="s">
        <v>73</v>
      </c>
      <c r="D52" s="4" t="s">
        <v>302</v>
      </c>
    </row>
    <row r="53" spans="1:4" s="5" customFormat="1" ht="15" customHeight="1" x14ac:dyDescent="0.25">
      <c r="A53" s="4" t="s">
        <v>220</v>
      </c>
      <c r="B53" s="13">
        <f>(B52+B54)/2</f>
        <v>3801.4124999999999</v>
      </c>
      <c r="C53" s="7" t="s">
        <v>73</v>
      </c>
      <c r="D53" s="4" t="s">
        <v>303</v>
      </c>
    </row>
    <row r="54" spans="1:4" s="5" customFormat="1" ht="15" customHeight="1" x14ac:dyDescent="0.25">
      <c r="A54" s="4" t="s">
        <v>221</v>
      </c>
      <c r="B54" s="12">
        <f>(3925+985)*'BLDG COST'!B5*'BLDG COST'!C5</f>
        <v>4457.2979999999998</v>
      </c>
      <c r="C54" s="7" t="s">
        <v>73</v>
      </c>
      <c r="D54" s="4" t="s">
        <v>304</v>
      </c>
    </row>
    <row r="55" spans="1:4" s="5" customFormat="1" ht="15" customHeight="1" x14ac:dyDescent="0.25">
      <c r="A55" s="4" t="s">
        <v>222</v>
      </c>
      <c r="B55" s="13">
        <f>($B$58-$B$54)/4+B54</f>
        <v>4949.7794999999996</v>
      </c>
      <c r="C55" s="7" t="s">
        <v>73</v>
      </c>
      <c r="D55" s="4" t="s">
        <v>305</v>
      </c>
    </row>
    <row r="56" spans="1:4" s="5" customFormat="1" ht="15" customHeight="1" x14ac:dyDescent="0.25">
      <c r="A56" s="4" t="s">
        <v>223</v>
      </c>
      <c r="B56" s="13">
        <f>($B$58-$B$54)/4+B55</f>
        <v>5442.2609999999995</v>
      </c>
      <c r="C56" s="7" t="s">
        <v>73</v>
      </c>
      <c r="D56" s="4" t="s">
        <v>306</v>
      </c>
    </row>
    <row r="57" spans="1:4" s="5" customFormat="1" ht="15" customHeight="1" x14ac:dyDescent="0.25">
      <c r="A57" s="4" t="s">
        <v>224</v>
      </c>
      <c r="B57" s="13">
        <f>($B$58-$B$54)/4+B56</f>
        <v>5934.7424999999994</v>
      </c>
      <c r="C57" s="7" t="s">
        <v>73</v>
      </c>
      <c r="D57" s="4" t="s">
        <v>307</v>
      </c>
    </row>
    <row r="58" spans="1:4" s="5" customFormat="1" ht="15" customHeight="1" x14ac:dyDescent="0.25">
      <c r="A58" s="4" t="s">
        <v>225</v>
      </c>
      <c r="B58" s="12">
        <f>(5600+1480)*'BLDG COST'!B5*'BLDG COST'!C5</f>
        <v>6427.2240000000002</v>
      </c>
      <c r="C58" s="7" t="s">
        <v>73</v>
      </c>
      <c r="D58" s="4" t="s">
        <v>308</v>
      </c>
    </row>
    <row r="59" spans="1:4" s="5" customFormat="1" ht="15" customHeight="1" x14ac:dyDescent="0.25">
      <c r="A59" s="4" t="s">
        <v>324</v>
      </c>
      <c r="B59" s="12"/>
      <c r="C59" s="7"/>
      <c r="D59" s="4"/>
    </row>
    <row r="60" spans="1:4" s="5" customFormat="1" ht="15" customHeight="1" x14ac:dyDescent="0.25">
      <c r="A60" s="4" t="s">
        <v>226</v>
      </c>
      <c r="B60" s="12">
        <f>(3700+990)*'BLDG COST'!B5*'BLDG COST'!C5</f>
        <v>4257.5820000000003</v>
      </c>
      <c r="C60" s="7" t="s">
        <v>73</v>
      </c>
      <c r="D60" s="4" t="s">
        <v>309</v>
      </c>
    </row>
    <row r="61" spans="1:4" s="5" customFormat="1" ht="15" customHeight="1" x14ac:dyDescent="0.25">
      <c r="A61" s="4" t="s">
        <v>227</v>
      </c>
      <c r="B61" s="13">
        <f>($B$64-$B$60)/4+B60</f>
        <v>4743.2550000000001</v>
      </c>
      <c r="C61" s="7" t="s">
        <v>73</v>
      </c>
      <c r="D61" s="4" t="s">
        <v>310</v>
      </c>
    </row>
    <row r="62" spans="1:4" s="5" customFormat="1" ht="15" customHeight="1" x14ac:dyDescent="0.25">
      <c r="A62" s="4" t="s">
        <v>228</v>
      </c>
      <c r="B62" s="13">
        <f>($B$64-$B$60)/4+B61</f>
        <v>5228.9279999999999</v>
      </c>
      <c r="C62" s="7" t="s">
        <v>73</v>
      </c>
      <c r="D62" s="4" t="s">
        <v>311</v>
      </c>
    </row>
    <row r="63" spans="1:4" s="5" customFormat="1" ht="15" customHeight="1" x14ac:dyDescent="0.25">
      <c r="A63" s="4" t="s">
        <v>229</v>
      </c>
      <c r="B63" s="13">
        <f>($B$64-$B$60)/4+B62</f>
        <v>5714.6009999999997</v>
      </c>
      <c r="C63" s="7" t="s">
        <v>73</v>
      </c>
      <c r="D63" s="4" t="s">
        <v>312</v>
      </c>
    </row>
    <row r="64" spans="1:4" s="5" customFormat="1" ht="15" customHeight="1" x14ac:dyDescent="0.25">
      <c r="A64" s="4" t="s">
        <v>230</v>
      </c>
      <c r="B64" s="12">
        <f>(5500+1330)*'BLDG COST'!B5*'BLDG COST'!C5</f>
        <v>6200.2740000000003</v>
      </c>
      <c r="C64" s="7" t="s">
        <v>73</v>
      </c>
      <c r="D64" s="4" t="s">
        <v>313</v>
      </c>
    </row>
    <row r="65" spans="1:6" s="5" customFormat="1" ht="15" customHeight="1" x14ac:dyDescent="0.25">
      <c r="A65" s="4" t="s">
        <v>231</v>
      </c>
      <c r="B65" s="13">
        <f t="shared" ref="B65:B70" si="1">($B$64-$B$60)/4+B64</f>
        <v>6685.9470000000001</v>
      </c>
      <c r="C65" s="7" t="s">
        <v>73</v>
      </c>
      <c r="D65" s="4" t="s">
        <v>314</v>
      </c>
    </row>
    <row r="66" spans="1:6" s="5" customFormat="1" ht="15" customHeight="1" x14ac:dyDescent="0.25">
      <c r="A66" s="4" t="s">
        <v>232</v>
      </c>
      <c r="B66" s="13">
        <f t="shared" si="1"/>
        <v>7171.62</v>
      </c>
      <c r="C66" s="7" t="s">
        <v>73</v>
      </c>
      <c r="D66" s="4" t="s">
        <v>315</v>
      </c>
    </row>
    <row r="67" spans="1:6" s="5" customFormat="1" ht="15" customHeight="1" x14ac:dyDescent="0.25">
      <c r="A67" s="4" t="s">
        <v>233</v>
      </c>
      <c r="B67" s="13">
        <f t="shared" si="1"/>
        <v>7657.2929999999997</v>
      </c>
      <c r="C67" s="7" t="s">
        <v>73</v>
      </c>
      <c r="D67" s="4" t="s">
        <v>316</v>
      </c>
    </row>
    <row r="68" spans="1:6" s="5" customFormat="1" ht="15" customHeight="1" x14ac:dyDescent="0.25">
      <c r="A68" s="4" t="s">
        <v>234</v>
      </c>
      <c r="B68" s="13">
        <f t="shared" si="1"/>
        <v>8142.9659999999994</v>
      </c>
      <c r="C68" s="7" t="s">
        <v>73</v>
      </c>
      <c r="D68" s="4" t="s">
        <v>317</v>
      </c>
    </row>
    <row r="69" spans="1:6" s="5" customFormat="1" ht="15" customHeight="1" x14ac:dyDescent="0.25">
      <c r="A69" s="4" t="s">
        <v>235</v>
      </c>
      <c r="B69" s="13">
        <f t="shared" si="1"/>
        <v>8628.6389999999992</v>
      </c>
      <c r="C69" s="7" t="s">
        <v>73</v>
      </c>
      <c r="D69" s="4" t="s">
        <v>318</v>
      </c>
    </row>
    <row r="70" spans="1:6" s="5" customFormat="1" ht="15" customHeight="1" x14ac:dyDescent="0.25">
      <c r="A70" s="4" t="s">
        <v>236</v>
      </c>
      <c r="B70" s="13">
        <f t="shared" si="1"/>
        <v>9114.3119999999999</v>
      </c>
      <c r="C70" s="7" t="s">
        <v>73</v>
      </c>
      <c r="D70" s="4" t="s">
        <v>319</v>
      </c>
    </row>
    <row r="71" spans="1:6" s="5" customFormat="1" ht="15" customHeight="1" x14ac:dyDescent="0.25">
      <c r="B71" s="6"/>
    </row>
    <row r="72" spans="1:6" ht="15" customHeight="1" x14ac:dyDescent="0.2"/>
    <row r="73" spans="1:6" ht="15" customHeight="1" x14ac:dyDescent="0.2"/>
    <row r="74" spans="1:6" ht="18.600000000000001" customHeight="1" x14ac:dyDescent="0.3">
      <c r="A74" s="128" t="s">
        <v>562</v>
      </c>
      <c r="B74" s="128"/>
      <c r="C74" s="128"/>
      <c r="D74" s="128"/>
    </row>
    <row r="75" spans="1:6" ht="15" customHeight="1" x14ac:dyDescent="0.2">
      <c r="A75" s="10" t="s">
        <v>563</v>
      </c>
    </row>
    <row r="76" spans="1:6" ht="15" customHeight="1" x14ac:dyDescent="0.3">
      <c r="A76" s="15" t="s">
        <v>564</v>
      </c>
      <c r="B76" s="16" t="s">
        <v>369</v>
      </c>
      <c r="C76" s="15" t="s">
        <v>435</v>
      </c>
      <c r="D76" s="15"/>
    </row>
    <row r="77" spans="1:6" ht="15" customHeight="1" x14ac:dyDescent="0.25">
      <c r="A77">
        <v>8</v>
      </c>
      <c r="B77" s="20">
        <v>0.91500000000000004</v>
      </c>
      <c r="F77" s="5" t="s">
        <v>561</v>
      </c>
    </row>
    <row r="78" spans="1:6" ht="15" customHeight="1" x14ac:dyDescent="0.2">
      <c r="A78">
        <v>9</v>
      </c>
      <c r="B78" s="20">
        <v>0.93600000000000005</v>
      </c>
    </row>
    <row r="79" spans="1:6" ht="15" customHeight="1" x14ac:dyDescent="0.2">
      <c r="A79" s="22">
        <v>10</v>
      </c>
      <c r="B79" s="23">
        <v>0.95699999999999996</v>
      </c>
      <c r="C79" s="22"/>
    </row>
    <row r="80" spans="1:6" ht="15" customHeight="1" x14ac:dyDescent="0.2">
      <c r="A80">
        <v>11</v>
      </c>
      <c r="B80" s="20">
        <v>0.97899999999999998</v>
      </c>
    </row>
    <row r="81" spans="1:3" ht="15" customHeight="1" x14ac:dyDescent="0.2">
      <c r="A81">
        <v>12</v>
      </c>
      <c r="B81" s="20">
        <v>1</v>
      </c>
      <c r="C81" s="10" t="s">
        <v>565</v>
      </c>
    </row>
    <row r="82" spans="1:3" ht="15" customHeight="1" x14ac:dyDescent="0.2">
      <c r="A82" s="22">
        <v>13</v>
      </c>
      <c r="B82" s="23">
        <v>1.0209999999999999</v>
      </c>
      <c r="C82" s="22"/>
    </row>
    <row r="83" spans="1:3" ht="15" customHeight="1" x14ac:dyDescent="0.2">
      <c r="A83">
        <v>14</v>
      </c>
      <c r="B83" s="20">
        <v>1.042</v>
      </c>
    </row>
    <row r="84" spans="1:3" ht="15" customHeight="1" x14ac:dyDescent="0.2">
      <c r="A84">
        <v>15</v>
      </c>
      <c r="B84" s="20">
        <v>1.0640000000000001</v>
      </c>
    </row>
    <row r="85" spans="1:3" ht="15" customHeight="1" x14ac:dyDescent="0.2">
      <c r="A85" s="22">
        <v>16</v>
      </c>
      <c r="B85" s="23">
        <v>1.085</v>
      </c>
      <c r="C85" s="22"/>
    </row>
    <row r="86" spans="1:3" ht="15" customHeight="1" x14ac:dyDescent="0.2">
      <c r="A86">
        <v>18</v>
      </c>
      <c r="B86" s="20">
        <v>1.127</v>
      </c>
    </row>
    <row r="87" spans="1:3" ht="15" customHeight="1" x14ac:dyDescent="0.2">
      <c r="A87">
        <v>20</v>
      </c>
      <c r="B87" s="20">
        <v>1.17</v>
      </c>
    </row>
    <row r="88" spans="1:3" ht="15" customHeight="1" x14ac:dyDescent="0.2">
      <c r="A88" s="22">
        <v>22</v>
      </c>
      <c r="B88" s="23">
        <v>1.2130000000000001</v>
      </c>
      <c r="C88" s="22"/>
    </row>
    <row r="89" spans="1:3" ht="15" customHeight="1" x14ac:dyDescent="0.2">
      <c r="A89">
        <v>24</v>
      </c>
      <c r="B89" s="20">
        <v>1.2549999999999999</v>
      </c>
    </row>
    <row r="90" spans="1:3" ht="15" customHeight="1" x14ac:dyDescent="0.2">
      <c r="A90">
        <v>26</v>
      </c>
      <c r="B90" s="20">
        <v>1.298</v>
      </c>
    </row>
    <row r="91" spans="1:3" ht="15" customHeight="1" x14ac:dyDescent="0.2">
      <c r="A91" s="22">
        <v>28</v>
      </c>
      <c r="B91" s="23">
        <v>1.34</v>
      </c>
      <c r="C91" s="22"/>
    </row>
    <row r="92" spans="1:3" ht="15" customHeight="1" x14ac:dyDescent="0.2">
      <c r="A92">
        <v>30</v>
      </c>
      <c r="B92" s="21">
        <v>1.383</v>
      </c>
    </row>
    <row r="93" spans="1:3" ht="15" customHeight="1" x14ac:dyDescent="0.2">
      <c r="A93">
        <v>32</v>
      </c>
      <c r="B93" s="21">
        <v>1.425</v>
      </c>
    </row>
    <row r="94" spans="1:3" ht="15" customHeight="1" x14ac:dyDescent="0.2">
      <c r="A94" s="22">
        <v>34</v>
      </c>
      <c r="B94" s="23">
        <v>1.468</v>
      </c>
      <c r="C94" s="22"/>
    </row>
    <row r="95" spans="1:3" ht="15" customHeight="1" x14ac:dyDescent="0.2"/>
    <row r="96" spans="1:3" ht="15" customHeight="1" x14ac:dyDescent="0.2"/>
    <row r="97" spans="1:7" ht="15" customHeight="1" x14ac:dyDescent="0.2"/>
    <row r="98" spans="1:7" ht="22.9" customHeight="1" x14ac:dyDescent="0.3">
      <c r="A98" s="128" t="s">
        <v>566</v>
      </c>
      <c r="B98" s="128"/>
      <c r="C98" s="128"/>
      <c r="D98" s="128"/>
    </row>
    <row r="99" spans="1:7" ht="15" customHeight="1" x14ac:dyDescent="0.2">
      <c r="A99" s="10" t="s">
        <v>567</v>
      </c>
    </row>
    <row r="100" spans="1:7" ht="15" customHeight="1" x14ac:dyDescent="0.3">
      <c r="A100" s="15" t="s">
        <v>568</v>
      </c>
      <c r="B100" s="24" t="s">
        <v>569</v>
      </c>
      <c r="C100" s="15" t="s">
        <v>435</v>
      </c>
      <c r="D100" s="15"/>
    </row>
    <row r="101" spans="1:7" ht="15" customHeight="1" x14ac:dyDescent="0.25">
      <c r="A101" s="10" t="s">
        <v>575</v>
      </c>
      <c r="B101" s="19">
        <v>0.48</v>
      </c>
      <c r="C101" s="10" t="s">
        <v>570</v>
      </c>
      <c r="F101" s="5" t="s">
        <v>574</v>
      </c>
    </row>
    <row r="102" spans="1:7" ht="15" customHeight="1" x14ac:dyDescent="0.2">
      <c r="A102" s="10" t="s">
        <v>576</v>
      </c>
      <c r="B102" s="19">
        <v>0.63</v>
      </c>
      <c r="C102" s="10" t="s">
        <v>571</v>
      </c>
      <c r="F102" s="10"/>
    </row>
    <row r="103" spans="1:7" ht="15" customHeight="1" x14ac:dyDescent="0.2">
      <c r="A103" s="10" t="s">
        <v>577</v>
      </c>
      <c r="B103" s="19">
        <v>0.78</v>
      </c>
      <c r="C103" s="10" t="s">
        <v>572</v>
      </c>
    </row>
    <row r="104" spans="1:7" ht="15" customHeight="1" x14ac:dyDescent="0.2">
      <c r="A104" s="10" t="s">
        <v>578</v>
      </c>
      <c r="B104" s="19">
        <v>0.99</v>
      </c>
      <c r="C104" s="10" t="s">
        <v>573</v>
      </c>
    </row>
    <row r="105" spans="1:7" ht="15" customHeight="1" x14ac:dyDescent="0.2"/>
    <row r="106" spans="1:7" ht="15" customHeight="1" x14ac:dyDescent="0.2"/>
    <row r="107" spans="1:7" ht="15" customHeight="1" x14ac:dyDescent="0.2"/>
    <row r="108" spans="1:7" ht="19.899999999999999" customHeight="1" x14ac:dyDescent="0.3">
      <c r="A108" s="128" t="s">
        <v>587</v>
      </c>
      <c r="B108" s="128"/>
      <c r="C108" s="128"/>
      <c r="D108" s="128"/>
    </row>
    <row r="109" spans="1:7" ht="15" customHeight="1" x14ac:dyDescent="0.2">
      <c r="A109" s="10"/>
    </row>
    <row r="110" spans="1:7" ht="15" customHeight="1" x14ac:dyDescent="0.3">
      <c r="A110" s="15" t="s">
        <v>568</v>
      </c>
      <c r="B110" s="24" t="s">
        <v>569</v>
      </c>
      <c r="C110" s="15" t="s">
        <v>435</v>
      </c>
      <c r="D110" s="15"/>
    </row>
    <row r="111" spans="1:7" ht="15" customHeight="1" x14ac:dyDescent="0.2">
      <c r="B111" s="1">
        <v>33.5</v>
      </c>
      <c r="C111" s="10" t="s">
        <v>588</v>
      </c>
      <c r="F111" s="10" t="s">
        <v>586</v>
      </c>
    </row>
    <row r="112" spans="1:7" ht="15" customHeight="1" x14ac:dyDescent="0.2">
      <c r="B112" s="1">
        <v>41.25</v>
      </c>
      <c r="C112" s="10" t="s">
        <v>589</v>
      </c>
      <c r="F112" s="10"/>
      <c r="G112" s="10"/>
    </row>
    <row r="113" spans="2:7" ht="15" customHeight="1" x14ac:dyDescent="0.2">
      <c r="B113" s="1">
        <v>50.5</v>
      </c>
      <c r="C113" s="10" t="s">
        <v>590</v>
      </c>
      <c r="F113" s="10"/>
      <c r="G113" s="10"/>
    </row>
    <row r="114" spans="2:7" ht="15" customHeight="1" x14ac:dyDescent="0.2">
      <c r="B114" s="1">
        <v>58.5</v>
      </c>
      <c r="C114" s="10" t="s">
        <v>591</v>
      </c>
      <c r="F114" s="10"/>
      <c r="G114" s="10"/>
    </row>
    <row r="115" spans="2:7" ht="15" customHeight="1" x14ac:dyDescent="0.2">
      <c r="B115" s="1">
        <v>86.5</v>
      </c>
      <c r="C115" s="10" t="s">
        <v>592</v>
      </c>
      <c r="F115" s="10"/>
      <c r="G115" s="10"/>
    </row>
    <row r="116" spans="2:7" ht="15" customHeight="1" x14ac:dyDescent="0.2">
      <c r="B116" s="1">
        <v>122</v>
      </c>
      <c r="C116" s="10" t="s">
        <v>593</v>
      </c>
      <c r="F116" s="10"/>
      <c r="G116" s="10"/>
    </row>
    <row r="117" spans="2:7" ht="15" customHeight="1" x14ac:dyDescent="0.2">
      <c r="G117" s="10"/>
    </row>
    <row r="118" spans="2:7" ht="15" customHeight="1" x14ac:dyDescent="0.2"/>
    <row r="119" spans="2:7" ht="15" customHeight="1" x14ac:dyDescent="0.2"/>
    <row r="120" spans="2:7" ht="15" customHeight="1" x14ac:dyDescent="0.2"/>
    <row r="121" spans="2:7" ht="15" customHeight="1" x14ac:dyDescent="0.2"/>
    <row r="122" spans="2:7" ht="15" customHeight="1" x14ac:dyDescent="0.2"/>
    <row r="123" spans="2:7" ht="15" customHeight="1" x14ac:dyDescent="0.2"/>
    <row r="124" spans="2:7" ht="15" customHeight="1" x14ac:dyDescent="0.2"/>
    <row r="125" spans="2:7" ht="15" customHeight="1" x14ac:dyDescent="0.2"/>
    <row r="126" spans="2:7" ht="15" customHeight="1" x14ac:dyDescent="0.2"/>
    <row r="127" spans="2:7" ht="15" customHeight="1" x14ac:dyDescent="0.2"/>
    <row r="128" spans="2:7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</sheetData>
  <mergeCells count="3">
    <mergeCell ref="A74:D74"/>
    <mergeCell ref="A98:D98"/>
    <mergeCell ref="A108:D108"/>
  </mergeCells>
  <phoneticPr fontId="0" type="noConversion"/>
  <pageMargins left="0.5" right="0.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BLDG COST</vt:lpstr>
      <vt:lpstr>BLDG COMMENT</vt:lpstr>
    </vt:vector>
  </TitlesOfParts>
  <Company>Eagle Appraisal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Zeitler</dc:creator>
  <cp:lastModifiedBy>Blaine Patterson</cp:lastModifiedBy>
  <cp:lastPrinted>2026-06-12T18:49:42Z</cp:lastPrinted>
  <dcterms:created xsi:type="dcterms:W3CDTF">2006-09-25T14:08:48Z</dcterms:created>
  <dcterms:modified xsi:type="dcterms:W3CDTF">2026-06-12T18:50:03Z</dcterms:modified>
</cp:coreProperties>
</file>